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888" windowHeight="8976" tabRatio="852" activeTab="0"/>
  </bookViews>
  <sheets>
    <sheet name="Cultivador" sheetId="1" r:id="rId1"/>
    <sheet name="Metodología" sheetId="2" r:id="rId2"/>
  </sheets>
  <definedNames>
    <definedName name="_xlnm.Print_Area" localSheetId="0">'Cultivador'!$B$2:$J$59</definedName>
    <definedName name="_xlnm.Print_Area" localSheetId="1">'Metodología'!$A$1:$A$28</definedName>
    <definedName name="Z_039E3839_049A_4F05_9EAF_8C8ED138CC23_.wvu.Cols" localSheetId="0" hidden="1">'Cultivador'!$AD:$AD</definedName>
    <definedName name="Z_039E3839_049A_4F05_9EAF_8C8ED138CC23_.wvu.PrintArea" localSheetId="0" hidden="1">'Cultivador'!$A$2:$U$59</definedName>
  </definedNames>
  <calcPr fullCalcOnLoad="1"/>
</workbook>
</file>

<file path=xl/sharedStrings.xml><?xml version="1.0" encoding="utf-8"?>
<sst xmlns="http://schemas.openxmlformats.org/spreadsheetml/2006/main" count="221" uniqueCount="147">
  <si>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</si>
  <si>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</si>
  <si>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</si>
  <si>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</si>
  <si>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</si>
  <si>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</si>
  <si>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</si>
  <si>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</si>
  <si>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</si>
  <si>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</si>
  <si>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</si>
  <si>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</si>
  <si>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</si>
  <si>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</si>
  <si>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</si>
  <si>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</si>
  <si>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</si>
  <si>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</si>
  <si>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</si>
  <si>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</si>
  <si>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</si>
  <si>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</si>
  <si>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</si>
  <si>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cm</t>
  </si>
  <si>
    <t>Profundidad de trabajo (cm)</t>
  </si>
  <si>
    <t>Anchura apero</t>
  </si>
  <si>
    <t>m</t>
  </si>
  <si>
    <t>Peso apero</t>
  </si>
  <si>
    <t>kg</t>
  </si>
  <si>
    <t>Resistencia suelo</t>
  </si>
  <si>
    <t>Resist.específica (kPa)</t>
  </si>
  <si>
    <t>kPa</t>
  </si>
  <si>
    <t>Fuerza</t>
  </si>
  <si>
    <t>daN</t>
  </si>
  <si>
    <t>Velocidad de trabajo</t>
  </si>
  <si>
    <t>km/h</t>
  </si>
  <si>
    <t>Potencia de tracción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</si>
  <si>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</si>
  <si>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</si>
  <si>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</si>
  <si>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</si>
  <si>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</si>
  <si>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</si>
  <si>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</si>
  <si>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</si>
  <si>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</si>
  <si>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</si>
  <si>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</si>
  <si>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</si>
  <si>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</si>
  <si>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</si>
  <si>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</si>
  <si>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</si>
  <si>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</si>
  <si>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</si>
  <si>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</si>
  <si>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</si>
  <si>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</si>
  <si>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</si>
  <si>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</si>
  <si>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</si>
  <si>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</si>
  <si>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</si>
  <si>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</si>
  <si>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</si>
  <si>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</si>
  <si>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Pase de cultivador</t>
  </si>
  <si>
    <t>Cultivador de brazos flexibles</t>
  </si>
  <si>
    <t>RESULTADOS MAPA para 15 cm de profundidad media: De 4 L/ha a 10 L/ha según textura y prof trabajo</t>
  </si>
  <si>
    <t>Anchura apero (m)</t>
  </si>
  <si>
    <t>Nivel de carga del tractor</t>
  </si>
  <si>
    <t>Pequeño</t>
  </si>
  <si>
    <t>Coef. Reducc. Suelo suelto</t>
  </si>
  <si>
    <t>pot tractor CV</t>
  </si>
  <si>
    <t>nivel carga %</t>
  </si>
  <si>
    <t>pot utilizada</t>
  </si>
  <si>
    <t>vel km/h</t>
  </si>
  <si>
    <t>Prf trabajo (cm)</t>
  </si>
  <si>
    <t>medium soil</t>
  </si>
  <si>
    <t>fine soil</t>
  </si>
  <si>
    <t>coarse soil</t>
  </si>
  <si>
    <t>3 m</t>
  </si>
  <si>
    <t>Bajo</t>
  </si>
  <si>
    <t>Alto</t>
  </si>
  <si>
    <t>COSTES DE UTILIZACIÓN</t>
  </si>
  <si>
    <t>COSTES DE POSESIÓN</t>
  </si>
  <si>
    <t>ASAE field cultivator secondary</t>
  </si>
  <si>
    <t>13 dient</t>
  </si>
  <si>
    <t>21 dient</t>
  </si>
  <si>
    <t>Capacidad trabajo teórica</t>
  </si>
  <si>
    <t>Capacidad trabajo real</t>
  </si>
  <si>
    <t>Coste gasóleo</t>
  </si>
  <si>
    <t>Coste combustible</t>
  </si>
  <si>
    <t>L/ha</t>
  </si>
  <si>
    <t>F(daN)</t>
  </si>
  <si>
    <t>P(kW)</t>
  </si>
  <si>
    <t>anchura max (m)</t>
  </si>
  <si>
    <t>R suelo  kPa</t>
  </si>
  <si>
    <t>Factor (L/h-kW)</t>
  </si>
  <si>
    <t>v (km/h)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</si>
  <si>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</si>
  <si>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</si>
  <si>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</si>
  <si>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</si>
  <si>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</si>
  <si>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</si>
  <si>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</si>
  <si>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</si>
  <si>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</si>
  <si>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</si>
  <si>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kg/m</t>
  </si>
  <si>
    <t>€/m</t>
  </si>
  <si>
    <t>Mant.-Reparac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</si>
  <si>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</si>
  <si>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</si>
  <si>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</si>
  <si>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</si>
  <si>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</si>
  <si>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</si>
  <si>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</si>
  <si>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</si>
  <si>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</si>
  <si>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</si>
  <si>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</si>
  <si>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</si>
  <si>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</si>
  <si>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</si>
  <si>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 xml:space="preserve">-          Profundidad de trabajo: Alta (15 cm) y baja (10 cm)      </t>
  </si>
  <si>
    <t>-          Peso del apero: Estimado en 200 kg/m</t>
  </si>
  <si>
    <t>-          Resistencia del suelo: A escoger según del tipo de suelo: ligero, medio o pesado</t>
  </si>
  <si>
    <t>-          Eficiencia de la operación: Baja, media o alta (se recomienda escoger alta para esta operación puesto que es la situación más habitual)</t>
  </si>
  <si>
    <t>-          Nivel de carga del tractor: Bajo, medio o alto (se recomienda coger medio para esta operación)</t>
  </si>
  <si>
    <t>-          Velocidad de trabajo: Es un valor tomado de las velocidades recomendadas de trabajo.</t>
  </si>
  <si>
    <t>-          Coeficiente de reducción por suelo suelto: Estimado en 0,3 por considerarse que el suelo se encuentra menos compactado tras las operaciones de laboreo primario.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</si>
  <si>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</si>
  <si>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</si>
  <si>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</si>
  <si>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Precio de adquisición: Estimado en 2.000 €/m de anchura de trabajo</t>
  </si>
  <si>
    <t>-          Amortización por desgaste: 3.000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</si>
  <si>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</si>
  <si>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</si>
  <si>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</si>
  <si>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0,90 €/ha</t>
  </si>
  <si>
    <t>-          Utilización anual tractor auxiliar: Se han estimado dos rangos diferentes de trabajo, 500 y 1.000 h/año.</t>
  </si>
  <si>
    <t>-          Anchura apero: baja (3 m), media (4,5 m) y alta (7 m).</t>
  </si>
  <si>
    <t>-          Coste de combustible: 1 €/L</t>
  </si>
  <si>
    <t>-          Interés:5 %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</si>
</sst>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justify" wrapText="1"/>
    </xf>
    <xf numFmtId="0" fontId="0" fillId="33" borderId="0" xfId="0" applyFill="1" applyAlignment="1">
      <alignment horizontal="justify"/>
    </xf>
    <xf numFmtId="0" fontId="4" fillId="33" borderId="0" xfId="0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6" fillId="0" borderId="15" xfId="0" applyNumberFormat="1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/>
    </xf>
    <xf numFmtId="0" fontId="6" fillId="0" borderId="15" xfId="0" applyFont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76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10" fillId="33" borderId="19" xfId="0" applyNumberFormat="1" applyFont="1" applyFill="1" applyBorder="1" applyAlignment="1" applyProtection="1">
      <alignment horizontal="center"/>
      <protection hidden="1" locked="0"/>
    </xf>
    <xf numFmtId="0" fontId="7" fillId="33" borderId="20" xfId="0" applyFont="1" applyFill="1" applyBorder="1" applyAlignment="1">
      <alignment horizontal="center"/>
    </xf>
    <xf numFmtId="164" fontId="12" fillId="33" borderId="0" xfId="0" applyNumberFormat="1" applyFont="1" applyFill="1" applyBorder="1" applyAlignment="1" applyProtection="1">
      <alignment horizontal="center"/>
      <protection hidden="1"/>
    </xf>
    <xf numFmtId="0" fontId="11" fillId="33" borderId="1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164" fontId="12" fillId="33" borderId="16" xfId="0" applyNumberFormat="1" applyFont="1" applyFill="1" applyBorder="1" applyAlignment="1" applyProtection="1">
      <alignment horizontal="center"/>
      <protection hidden="1"/>
    </xf>
    <xf numFmtId="0" fontId="11" fillId="33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35" borderId="17" xfId="0" applyFont="1" applyFill="1" applyBorder="1" applyAlignment="1">
      <alignment horizontal="center"/>
    </xf>
    <xf numFmtId="165" fontId="6" fillId="33" borderId="15" xfId="0" applyNumberFormat="1" applyFont="1" applyFill="1" applyBorder="1" applyAlignment="1" applyProtection="1">
      <alignment horizontal="center"/>
      <protection/>
    </xf>
    <xf numFmtId="165" fontId="6" fillId="34" borderId="14" xfId="0" applyNumberFormat="1" applyFont="1" applyFill="1" applyBorder="1" applyAlignment="1" applyProtection="1">
      <alignment horizontal="center"/>
      <protection/>
    </xf>
    <xf numFmtId="3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/>
    </xf>
    <xf numFmtId="165" fontId="6" fillId="34" borderId="0" xfId="0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15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3" fontId="10" fillId="33" borderId="0" xfId="0" applyNumberFormat="1" applyFont="1" applyFill="1" applyBorder="1" applyAlignment="1" applyProtection="1">
      <alignment horizontal="center"/>
      <protection hidden="1" locked="0"/>
    </xf>
    <xf numFmtId="0" fontId="6" fillId="34" borderId="15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/>
      <protection hidden="1" locked="0"/>
    </xf>
    <xf numFmtId="3" fontId="10" fillId="33" borderId="15" xfId="0" applyNumberFormat="1" applyFont="1" applyFill="1" applyBorder="1" applyAlignment="1" applyProtection="1">
      <alignment horizontal="center"/>
      <protection locked="0"/>
    </xf>
    <xf numFmtId="3" fontId="6" fillId="34" borderId="14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/>
      <protection/>
    </xf>
    <xf numFmtId="165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/>
      <protection/>
    </xf>
    <xf numFmtId="0" fontId="7" fillId="34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2" fontId="6" fillId="33" borderId="19" xfId="0" applyNumberFormat="1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/>
    </xf>
    <xf numFmtId="0" fontId="11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2" fontId="6" fillId="33" borderId="24" xfId="0" applyNumberFormat="1" applyFont="1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 applyProtection="1">
      <alignment horizontal="center"/>
      <protection hidden="1"/>
    </xf>
    <xf numFmtId="1" fontId="7" fillId="34" borderId="14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/>
      <protection hidden="1"/>
    </xf>
    <xf numFmtId="0" fontId="6" fillId="36" borderId="26" xfId="0" applyFont="1" applyFill="1" applyBorder="1" applyAlignment="1">
      <alignment horizontal="center"/>
    </xf>
    <xf numFmtId="0" fontId="6" fillId="0" borderId="27" xfId="0" applyFont="1" applyBorder="1" applyAlignment="1" applyProtection="1">
      <alignment horizontal="center"/>
      <protection hidden="1"/>
    </xf>
    <xf numFmtId="164" fontId="6" fillId="0" borderId="27" xfId="0" applyNumberFormat="1" applyFont="1" applyBorder="1" applyAlignment="1" applyProtection="1">
      <alignment horizontal="center"/>
      <protection hidden="1"/>
    </xf>
    <xf numFmtId="2" fontId="6" fillId="0" borderId="28" xfId="0" applyNumberFormat="1" applyFont="1" applyBorder="1" applyAlignment="1" applyProtection="1">
      <alignment horizontal="center"/>
      <protection hidden="1"/>
    </xf>
    <xf numFmtId="0" fontId="6" fillId="34" borderId="17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6" borderId="29" xfId="0" applyFont="1" applyFill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hidden="1"/>
    </xf>
    <xf numFmtId="164" fontId="6" fillId="0" borderId="15" xfId="0" applyNumberFormat="1" applyFont="1" applyBorder="1" applyAlignment="1" applyProtection="1">
      <alignment horizontal="center"/>
      <protection hidden="1"/>
    </xf>
    <xf numFmtId="2" fontId="6" fillId="0" borderId="30" xfId="0" applyNumberFormat="1" applyFont="1" applyBorder="1" applyAlignment="1" applyProtection="1">
      <alignment horizontal="center"/>
      <protection hidden="1"/>
    </xf>
    <xf numFmtId="0" fontId="11" fillId="34" borderId="0" xfId="0" applyFont="1" applyFill="1" applyBorder="1" applyAlignment="1">
      <alignment/>
    </xf>
    <xf numFmtId="0" fontId="6" fillId="36" borderId="31" xfId="0" applyFont="1" applyFill="1" applyBorder="1" applyAlignment="1">
      <alignment horizontal="center"/>
    </xf>
    <xf numFmtId="0" fontId="6" fillId="0" borderId="32" xfId="0" applyFont="1" applyBorder="1" applyAlignment="1" applyProtection="1">
      <alignment horizontal="center"/>
      <protection hidden="1"/>
    </xf>
    <xf numFmtId="164" fontId="6" fillId="0" borderId="33" xfId="0" applyNumberFormat="1" applyFont="1" applyBorder="1" applyAlignment="1" applyProtection="1">
      <alignment horizontal="center"/>
      <protection hidden="1"/>
    </xf>
    <xf numFmtId="2" fontId="6" fillId="0" borderId="34" xfId="0" applyNumberFormat="1" applyFont="1" applyBorder="1" applyAlignment="1" applyProtection="1">
      <alignment horizontal="center"/>
      <protection hidden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/>
    </xf>
    <xf numFmtId="2" fontId="6" fillId="33" borderId="15" xfId="0" applyNumberFormat="1" applyFont="1" applyFill="1" applyBorder="1" applyAlignment="1" applyProtection="1">
      <alignment horizontal="center" vertical="center"/>
      <protection hidden="1"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14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center"/>
    </xf>
    <xf numFmtId="0" fontId="15" fillId="34" borderId="0" xfId="0" applyFont="1" applyFill="1" applyBorder="1" applyAlignment="1" applyProtection="1">
      <alignment/>
      <protection hidden="1"/>
    </xf>
    <xf numFmtId="0" fontId="6" fillId="34" borderId="31" xfId="0" applyFont="1" applyFill="1" applyBorder="1" applyAlignment="1">
      <alignment horizontal="center"/>
    </xf>
    <xf numFmtId="2" fontId="12" fillId="34" borderId="0" xfId="0" applyNumberFormat="1" applyFont="1" applyFill="1" applyBorder="1" applyAlignment="1">
      <alignment vertical="center"/>
    </xf>
    <xf numFmtId="0" fontId="6" fillId="37" borderId="26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/>
    </xf>
    <xf numFmtId="3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38" borderId="26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/>
    </xf>
    <xf numFmtId="2" fontId="12" fillId="34" borderId="0" xfId="0" applyNumberFormat="1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5" xfId="0" applyFont="1" applyFill="1" applyBorder="1" applyAlignment="1">
      <alignment horizontal="center"/>
    </xf>
    <xf numFmtId="0" fontId="6" fillId="0" borderId="33" xfId="0" applyFont="1" applyBorder="1" applyAlignment="1" applyProtection="1">
      <alignment horizontal="center"/>
      <protection hidden="1"/>
    </xf>
    <xf numFmtId="2" fontId="6" fillId="0" borderId="36" xfId="0" applyNumberFormat="1" applyFont="1" applyBorder="1" applyAlignment="1" applyProtection="1">
      <alignment horizontal="center"/>
      <protection hidden="1"/>
    </xf>
    <xf numFmtId="0" fontId="6" fillId="34" borderId="21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2" fontId="16" fillId="39" borderId="37" xfId="0" applyNumberFormat="1" applyFont="1" applyFill="1" applyBorder="1" applyAlignment="1" applyProtection="1">
      <alignment horizontal="center" vertical="center"/>
      <protection hidden="1"/>
    </xf>
    <xf numFmtId="2" fontId="16" fillId="39" borderId="18" xfId="0" applyNumberFormat="1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>
      <alignment horizontal="left"/>
    </xf>
    <xf numFmtId="0" fontId="6" fillId="33" borderId="15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8" borderId="37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/>
    </xf>
    <xf numFmtId="1" fontId="6" fillId="0" borderId="32" xfId="0" applyNumberFormat="1" applyFont="1" applyBorder="1" applyAlignment="1" applyProtection="1">
      <alignment horizontal="center" vertical="center"/>
      <protection hidden="1"/>
    </xf>
    <xf numFmtId="1" fontId="6" fillId="0" borderId="38" xfId="0" applyNumberFormat="1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39" borderId="37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176" fontId="6" fillId="0" borderId="15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 wrapText="1"/>
    </xf>
    <xf numFmtId="0" fontId="7" fillId="33" borderId="3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6" fillId="33" borderId="3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33" borderId="41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5" borderId="37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33" borderId="41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12.emf" /><Relationship Id="rId7" Type="http://schemas.openxmlformats.org/officeDocument/2006/relationships/image" Target="../media/image4.emf" /><Relationship Id="rId8" Type="http://schemas.openxmlformats.org/officeDocument/2006/relationships/image" Target="../media/image24.emf" /><Relationship Id="rId9" Type="http://schemas.openxmlformats.org/officeDocument/2006/relationships/image" Target="../media/image19.emf" /><Relationship Id="rId10" Type="http://schemas.openxmlformats.org/officeDocument/2006/relationships/image" Target="../media/image23.emf" /><Relationship Id="rId11" Type="http://schemas.openxmlformats.org/officeDocument/2006/relationships/image" Target="../media/image20.emf" /><Relationship Id="rId12" Type="http://schemas.openxmlformats.org/officeDocument/2006/relationships/image" Target="../media/image8.emf" /><Relationship Id="rId13" Type="http://schemas.openxmlformats.org/officeDocument/2006/relationships/image" Target="../media/image21.emf" /><Relationship Id="rId14" Type="http://schemas.openxmlformats.org/officeDocument/2006/relationships/image" Target="../media/image3.emf" /><Relationship Id="rId15" Type="http://schemas.openxmlformats.org/officeDocument/2006/relationships/image" Target="../media/image22.emf" /><Relationship Id="rId16" Type="http://schemas.openxmlformats.org/officeDocument/2006/relationships/image" Target="../media/image16.emf" /><Relationship Id="rId17" Type="http://schemas.openxmlformats.org/officeDocument/2006/relationships/image" Target="../media/image18.emf" /><Relationship Id="rId18" Type="http://schemas.openxmlformats.org/officeDocument/2006/relationships/image" Target="../media/image17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11.emf" /><Relationship Id="rId22" Type="http://schemas.openxmlformats.org/officeDocument/2006/relationships/image" Target="../media/image7.emf" /><Relationship Id="rId23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pic>
      <xdr:nvPicPr>
        <xdr:cNvPr id="1" name="1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6</xdr:row>
      <xdr:rowOff>0</xdr:rowOff>
    </xdr:from>
    <xdr:to>
      <xdr:col>7</xdr:col>
      <xdr:colOff>276225</xdr:colOff>
      <xdr:row>6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085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7</xdr:row>
      <xdr:rowOff>9525</xdr:rowOff>
    </xdr:from>
    <xdr:to>
      <xdr:col>7</xdr:col>
      <xdr:colOff>266700</xdr:colOff>
      <xdr:row>7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2305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8</xdr:row>
      <xdr:rowOff>19050</xdr:rowOff>
    </xdr:from>
    <xdr:to>
      <xdr:col>7</xdr:col>
      <xdr:colOff>257175</xdr:colOff>
      <xdr:row>8</xdr:row>
      <xdr:rowOff>142875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2524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11</xdr:row>
      <xdr:rowOff>38100</xdr:rowOff>
    </xdr:from>
    <xdr:to>
      <xdr:col>7</xdr:col>
      <xdr:colOff>276225</xdr:colOff>
      <xdr:row>12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3171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47625</xdr:rowOff>
    </xdr:from>
    <xdr:to>
      <xdr:col>7</xdr:col>
      <xdr:colOff>266700</xdr:colOff>
      <xdr:row>13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33909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20</xdr:row>
      <xdr:rowOff>28575</xdr:rowOff>
    </xdr:from>
    <xdr:to>
      <xdr:col>7</xdr:col>
      <xdr:colOff>266700</xdr:colOff>
      <xdr:row>21</xdr:row>
      <xdr:rowOff>9525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5048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21</xdr:row>
      <xdr:rowOff>38100</xdr:rowOff>
    </xdr:from>
    <xdr:to>
      <xdr:col>7</xdr:col>
      <xdr:colOff>266700</xdr:colOff>
      <xdr:row>22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86275" y="5267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22</xdr:row>
      <xdr:rowOff>28575</xdr:rowOff>
    </xdr:from>
    <xdr:to>
      <xdr:col>7</xdr:col>
      <xdr:colOff>266700</xdr:colOff>
      <xdr:row>23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54673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25</xdr:row>
      <xdr:rowOff>19050</xdr:rowOff>
    </xdr:from>
    <xdr:to>
      <xdr:col>7</xdr:col>
      <xdr:colOff>257175</xdr:colOff>
      <xdr:row>26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0" y="6086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26</xdr:row>
      <xdr:rowOff>0</xdr:rowOff>
    </xdr:from>
    <xdr:to>
      <xdr:col>7</xdr:col>
      <xdr:colOff>257175</xdr:colOff>
      <xdr:row>26</xdr:row>
      <xdr:rowOff>142875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6276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27</xdr:row>
      <xdr:rowOff>9525</xdr:rowOff>
    </xdr:from>
    <xdr:to>
      <xdr:col>7</xdr:col>
      <xdr:colOff>247650</xdr:colOff>
      <xdr:row>27</xdr:row>
      <xdr:rowOff>142875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67225" y="6496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15</xdr:row>
      <xdr:rowOff>38100</xdr:rowOff>
    </xdr:from>
    <xdr:to>
      <xdr:col>7</xdr:col>
      <xdr:colOff>276225</xdr:colOff>
      <xdr:row>16</xdr:row>
      <xdr:rowOff>19050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4010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16</xdr:row>
      <xdr:rowOff>28575</xdr:rowOff>
    </xdr:from>
    <xdr:to>
      <xdr:col>7</xdr:col>
      <xdr:colOff>266700</xdr:colOff>
      <xdr:row>17</xdr:row>
      <xdr:rowOff>9525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95800" y="42100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17</xdr:row>
      <xdr:rowOff>47625</xdr:rowOff>
    </xdr:from>
    <xdr:to>
      <xdr:col>7</xdr:col>
      <xdr:colOff>257175</xdr:colOff>
      <xdr:row>18</xdr:row>
      <xdr:rowOff>9525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86275" y="4438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30</xdr:row>
      <xdr:rowOff>19050</xdr:rowOff>
    </xdr:from>
    <xdr:to>
      <xdr:col>7</xdr:col>
      <xdr:colOff>209550</xdr:colOff>
      <xdr:row>30</xdr:row>
      <xdr:rowOff>161925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29125" y="7134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31</xdr:row>
      <xdr:rowOff>9525</xdr:rowOff>
    </xdr:from>
    <xdr:to>
      <xdr:col>7</xdr:col>
      <xdr:colOff>209550</xdr:colOff>
      <xdr:row>31</xdr:row>
      <xdr:rowOff>142875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29125" y="7334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32</xdr:row>
      <xdr:rowOff>9525</xdr:rowOff>
    </xdr:from>
    <xdr:to>
      <xdr:col>7</xdr:col>
      <xdr:colOff>209550</xdr:colOff>
      <xdr:row>32</xdr:row>
      <xdr:rowOff>142875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29125" y="7543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33</xdr:row>
      <xdr:rowOff>9525</xdr:rowOff>
    </xdr:from>
    <xdr:to>
      <xdr:col>7</xdr:col>
      <xdr:colOff>209550</xdr:colOff>
      <xdr:row>33</xdr:row>
      <xdr:rowOff>142875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29125" y="775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53</xdr:row>
      <xdr:rowOff>28575</xdr:rowOff>
    </xdr:from>
    <xdr:to>
      <xdr:col>1</xdr:col>
      <xdr:colOff>257175</xdr:colOff>
      <xdr:row>54</xdr:row>
      <xdr:rowOff>9525</xdr:rowOff>
    </xdr:to>
    <xdr:pic>
      <xdr:nvPicPr>
        <xdr:cNvPr id="20" name="OptionButton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19634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54</xdr:row>
      <xdr:rowOff>28575</xdr:rowOff>
    </xdr:from>
    <xdr:to>
      <xdr:col>1</xdr:col>
      <xdr:colOff>257175</xdr:colOff>
      <xdr:row>55</xdr:row>
      <xdr:rowOff>9525</xdr:rowOff>
    </xdr:to>
    <xdr:pic>
      <xdr:nvPicPr>
        <xdr:cNvPr id="21" name="OptionButto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2172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42</xdr:row>
      <xdr:rowOff>9525</xdr:rowOff>
    </xdr:from>
    <xdr:to>
      <xdr:col>7</xdr:col>
      <xdr:colOff>247650</xdr:colOff>
      <xdr:row>43</xdr:row>
      <xdr:rowOff>0</xdr:rowOff>
    </xdr:to>
    <xdr:pic>
      <xdr:nvPicPr>
        <xdr:cNvPr id="22" name="OptionButton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67225" y="963930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43</xdr:row>
      <xdr:rowOff>28575</xdr:rowOff>
    </xdr:from>
    <xdr:to>
      <xdr:col>7</xdr:col>
      <xdr:colOff>247650</xdr:colOff>
      <xdr:row>44</xdr:row>
      <xdr:rowOff>9525</xdr:rowOff>
    </xdr:to>
    <xdr:pic>
      <xdr:nvPicPr>
        <xdr:cNvPr id="23" name="OptionButton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67225" y="9867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1114425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AD68"/>
  <sheetViews>
    <sheetView showZeros="0" tabSelected="1" zoomScalePageLayoutView="0" workbookViewId="0" topLeftCell="A1">
      <selection activeCell="L3" sqref="L3"/>
    </sheetView>
  </sheetViews>
  <sheetFormatPr defaultColWidth="11.421875" defaultRowHeight="12.75"/>
  <cols>
    <col min="1" max="1" width="2.8515625" style="8" customWidth="1"/>
    <col min="2" max="2" width="5.421875" style="8" customWidth="1"/>
    <col min="3" max="3" width="25.00390625" style="8" customWidth="1"/>
    <col min="4" max="4" width="12.00390625" style="9" customWidth="1"/>
    <col min="5" max="5" width="6.57421875" style="9" customWidth="1"/>
    <col min="6" max="6" width="7.00390625" style="8" customWidth="1"/>
    <col min="7" max="7" width="6.57421875" style="10" customWidth="1"/>
    <col min="8" max="8" width="4.140625" style="8" customWidth="1"/>
    <col min="9" max="9" width="10.7109375" style="8" customWidth="1"/>
    <col min="10" max="10" width="21.8515625" style="8" customWidth="1"/>
    <col min="11" max="12" width="5.7109375" style="8" customWidth="1"/>
    <col min="13" max="13" width="15.7109375" style="8" hidden="1" customWidth="1"/>
    <col min="14" max="14" width="7.57421875" style="8" hidden="1" customWidth="1"/>
    <col min="15" max="15" width="8.140625" style="8" hidden="1" customWidth="1"/>
    <col min="16" max="16" width="10.421875" style="8" hidden="1" customWidth="1"/>
    <col min="17" max="17" width="7.140625" style="8" hidden="1" customWidth="1"/>
    <col min="18" max="18" width="10.421875" style="8" hidden="1" customWidth="1"/>
    <col min="19" max="19" width="9.57421875" style="8" hidden="1" customWidth="1"/>
    <col min="20" max="20" width="11.57421875" style="8" hidden="1" customWidth="1"/>
    <col min="21" max="21" width="6.57421875" style="8" hidden="1" customWidth="1"/>
    <col min="22" max="22" width="6.57421875" style="8" customWidth="1"/>
    <col min="23" max="24" width="9.28125" style="8" customWidth="1"/>
    <col min="25" max="26" width="8.8515625" style="8" customWidth="1"/>
    <col min="27" max="27" width="11.57421875" style="8" customWidth="1"/>
    <col min="28" max="28" width="0" style="8" hidden="1" customWidth="1"/>
    <col min="29" max="29" width="4.8515625" style="8" hidden="1" customWidth="1"/>
    <col min="30" max="30" width="11.421875" style="11" hidden="1" customWidth="1"/>
    <col min="31" max="32" width="0" style="8" hidden="1" customWidth="1"/>
    <col min="33" max="16384" width="11.57421875" style="8" customWidth="1"/>
  </cols>
  <sheetData>
    <row r="1" ht="93.75" customHeight="1"/>
    <row r="2" spans="1:11" ht="14.25">
      <c r="A2" s="12"/>
      <c r="B2" s="13"/>
      <c r="C2" s="13"/>
      <c r="D2" s="14"/>
      <c r="E2" s="14"/>
      <c r="F2" s="13"/>
      <c r="G2" s="13"/>
      <c r="H2" s="13"/>
      <c r="I2" s="13"/>
      <c r="J2" s="13"/>
      <c r="K2" s="15"/>
    </row>
    <row r="3" spans="1:29" ht="12.75" customHeight="1">
      <c r="A3" s="16"/>
      <c r="B3" s="17"/>
      <c r="C3" s="18" t="s">
        <v>13</v>
      </c>
      <c r="D3" s="19" t="s">
        <v>66</v>
      </c>
      <c r="E3" s="20"/>
      <c r="F3" s="21"/>
      <c r="G3" s="21"/>
      <c r="H3" s="17"/>
      <c r="I3" s="17"/>
      <c r="J3" s="17"/>
      <c r="K3" s="22"/>
      <c r="M3" s="194" t="s">
        <v>109</v>
      </c>
      <c r="N3" s="195"/>
      <c r="AC3" s="23"/>
    </row>
    <row r="4" spans="1:30" ht="13.5" customHeight="1">
      <c r="A4" s="16"/>
      <c r="B4" s="17"/>
      <c r="C4" s="18" t="s">
        <v>14</v>
      </c>
      <c r="D4" s="218" t="s">
        <v>67</v>
      </c>
      <c r="E4" s="218"/>
      <c r="F4" s="218"/>
      <c r="G4" s="218"/>
      <c r="H4" s="218"/>
      <c r="I4" s="17"/>
      <c r="J4" s="17"/>
      <c r="K4" s="25"/>
      <c r="AD4" s="26" t="b">
        <v>1</v>
      </c>
    </row>
    <row r="5" spans="1:30" ht="13.5">
      <c r="A5" s="16"/>
      <c r="B5" s="17"/>
      <c r="C5" s="17"/>
      <c r="D5" s="27"/>
      <c r="E5" s="27"/>
      <c r="F5" s="27"/>
      <c r="G5" s="24"/>
      <c r="H5" s="28"/>
      <c r="I5" s="17"/>
      <c r="J5" s="17"/>
      <c r="K5" s="25"/>
      <c r="AD5" s="26" t="b">
        <v>0</v>
      </c>
    </row>
    <row r="6" spans="1:30" ht="16.5" customHeight="1">
      <c r="A6" s="16"/>
      <c r="B6" s="235" t="s">
        <v>22</v>
      </c>
      <c r="C6" s="236"/>
      <c r="D6" s="29">
        <f>IF(AD9=TRUE,J12,IF(AD10=TRUE,J13))</f>
        <v>15</v>
      </c>
      <c r="E6" s="30" t="s">
        <v>23</v>
      </c>
      <c r="F6" s="31"/>
      <c r="G6" s="32"/>
      <c r="H6" s="28"/>
      <c r="I6" s="33" t="s">
        <v>15</v>
      </c>
      <c r="J6" s="34" t="s">
        <v>30</v>
      </c>
      <c r="K6" s="35"/>
      <c r="AD6" s="11" t="b">
        <v>0</v>
      </c>
    </row>
    <row r="7" spans="1:11" ht="16.5" customHeight="1">
      <c r="A7" s="16"/>
      <c r="B7" s="237" t="s">
        <v>25</v>
      </c>
      <c r="C7" s="238"/>
      <c r="D7" s="36">
        <f>IF(AD13=TRUE,J16,IF(AD14=TRUE,J17,IF(AD15=TRUE,J18)))</f>
        <v>4.5</v>
      </c>
      <c r="E7" s="37" t="s">
        <v>26</v>
      </c>
      <c r="F7" s="38"/>
      <c r="G7" s="39"/>
      <c r="H7" s="40"/>
      <c r="I7" s="33" t="s">
        <v>16</v>
      </c>
      <c r="J7" s="34">
        <v>40</v>
      </c>
      <c r="K7" s="35"/>
    </row>
    <row r="8" spans="1:11" ht="16.5" customHeight="1">
      <c r="A8" s="16"/>
      <c r="B8" s="237" t="s">
        <v>27</v>
      </c>
      <c r="C8" s="238"/>
      <c r="D8" s="41">
        <f>F8*D7</f>
        <v>900</v>
      </c>
      <c r="E8" s="37" t="s">
        <v>28</v>
      </c>
      <c r="F8" s="42">
        <v>200</v>
      </c>
      <c r="G8" s="43" t="s">
        <v>110</v>
      </c>
      <c r="H8" s="40"/>
      <c r="I8" s="33" t="s">
        <v>17</v>
      </c>
      <c r="J8" s="34">
        <v>60</v>
      </c>
      <c r="K8" s="35"/>
    </row>
    <row r="9" spans="1:30" ht="16.5" customHeight="1">
      <c r="A9" s="16"/>
      <c r="B9" s="44"/>
      <c r="C9" s="45"/>
      <c r="D9" s="46"/>
      <c r="E9" s="47"/>
      <c r="F9" s="38"/>
      <c r="G9" s="39"/>
      <c r="H9" s="40"/>
      <c r="I9" s="33" t="s">
        <v>18</v>
      </c>
      <c r="J9" s="34">
        <v>80</v>
      </c>
      <c r="K9" s="35"/>
      <c r="AD9" s="11" t="b">
        <v>0</v>
      </c>
    </row>
    <row r="10" spans="1:30" ht="16.5" customHeight="1">
      <c r="A10" s="16"/>
      <c r="B10" s="237" t="s">
        <v>29</v>
      </c>
      <c r="C10" s="238"/>
      <c r="D10" s="46">
        <f>IF(AD4=TRUE,J7,IF(AD5=TRUE,J8,IF(AD6=TRUE,J9)))</f>
        <v>40</v>
      </c>
      <c r="E10" s="37" t="s">
        <v>31</v>
      </c>
      <c r="F10" s="38"/>
      <c r="G10" s="39"/>
      <c r="H10" s="28"/>
      <c r="I10" s="17"/>
      <c r="J10" s="17"/>
      <c r="K10" s="22"/>
      <c r="U10" s="48"/>
      <c r="V10" s="48"/>
      <c r="W10" s="48"/>
      <c r="X10" s="48"/>
      <c r="Y10" s="48"/>
      <c r="Z10" s="48"/>
      <c r="AA10" s="48"/>
      <c r="AB10" s="48"/>
      <c r="AD10" s="11" t="b">
        <v>1</v>
      </c>
    </row>
    <row r="11" spans="1:28" ht="16.5" customHeight="1">
      <c r="A11" s="16"/>
      <c r="B11" s="237" t="s">
        <v>72</v>
      </c>
      <c r="C11" s="238"/>
      <c r="D11" s="46">
        <v>0.3</v>
      </c>
      <c r="E11" s="37"/>
      <c r="F11" s="38"/>
      <c r="G11" s="39"/>
      <c r="H11" s="28"/>
      <c r="I11" s="221" t="s">
        <v>24</v>
      </c>
      <c r="J11" s="222"/>
      <c r="K11" s="35"/>
      <c r="M11" s="23"/>
      <c r="U11" s="48"/>
      <c r="V11" s="48"/>
      <c r="W11" s="48"/>
      <c r="X11" s="48"/>
      <c r="Y11" s="48"/>
      <c r="Z11" s="48"/>
      <c r="AA11" s="48"/>
      <c r="AB11" s="48"/>
    </row>
    <row r="12" spans="1:28" ht="16.5" customHeight="1">
      <c r="A12" s="16"/>
      <c r="B12" s="237" t="s">
        <v>32</v>
      </c>
      <c r="C12" s="238"/>
      <c r="D12" s="41">
        <f>D10*D11*D6*0.1*D7*10</f>
        <v>810</v>
      </c>
      <c r="E12" s="37" t="s">
        <v>33</v>
      </c>
      <c r="F12" s="38"/>
      <c r="G12" s="39"/>
      <c r="H12" s="40"/>
      <c r="I12" s="33" t="s">
        <v>19</v>
      </c>
      <c r="J12" s="34">
        <v>10</v>
      </c>
      <c r="K12" s="35"/>
      <c r="M12" s="198" t="s">
        <v>86</v>
      </c>
      <c r="N12" s="199" t="s">
        <v>80</v>
      </c>
      <c r="O12" s="49" t="s">
        <v>87</v>
      </c>
      <c r="P12" s="49" t="s">
        <v>94</v>
      </c>
      <c r="Q12" s="49" t="s">
        <v>99</v>
      </c>
      <c r="R12" s="50" t="s">
        <v>95</v>
      </c>
      <c r="U12" s="48"/>
      <c r="V12" s="48"/>
      <c r="W12" s="48"/>
      <c r="X12" s="48"/>
      <c r="Y12" s="48"/>
      <c r="Z12" s="48"/>
      <c r="AA12" s="48"/>
      <c r="AB12" s="48"/>
    </row>
    <row r="13" spans="1:30" ht="16.5" customHeight="1">
      <c r="A13" s="16"/>
      <c r="B13" s="237" t="s">
        <v>34</v>
      </c>
      <c r="C13" s="238"/>
      <c r="D13" s="46">
        <v>9</v>
      </c>
      <c r="E13" s="37" t="s">
        <v>35</v>
      </c>
      <c r="F13" s="38"/>
      <c r="G13" s="39"/>
      <c r="H13" s="40"/>
      <c r="I13" s="33" t="s">
        <v>21</v>
      </c>
      <c r="J13" s="34">
        <v>15</v>
      </c>
      <c r="K13" s="35"/>
      <c r="M13" s="198"/>
      <c r="N13" s="199"/>
      <c r="O13" s="49" t="str">
        <f>CONCATENATE(D$6," cm")</f>
        <v>15 cm</v>
      </c>
      <c r="P13" s="200">
        <f>(32+1.9*D$13)*0.65*13*D$6/10</f>
        <v>622.3425</v>
      </c>
      <c r="Q13" s="190">
        <f>D$13</f>
        <v>9</v>
      </c>
      <c r="R13" s="203">
        <f>P13*10*D$13/3600</f>
        <v>15.558562499999999</v>
      </c>
      <c r="U13" s="48"/>
      <c r="V13" s="48"/>
      <c r="W13" s="48"/>
      <c r="X13" s="48"/>
      <c r="Y13" s="48"/>
      <c r="Z13" s="48"/>
      <c r="AA13" s="48"/>
      <c r="AB13" s="48"/>
      <c r="AD13" s="11" t="b">
        <v>0</v>
      </c>
    </row>
    <row r="14" spans="1:30" ht="16.5" customHeight="1">
      <c r="A14" s="16"/>
      <c r="B14" s="237" t="s">
        <v>36</v>
      </c>
      <c r="C14" s="238"/>
      <c r="D14" s="53">
        <f>D12*10*D13/3600</f>
        <v>20.25</v>
      </c>
      <c r="E14" s="37" t="s">
        <v>1</v>
      </c>
      <c r="F14" s="38"/>
      <c r="G14" s="39"/>
      <c r="H14" s="28"/>
      <c r="I14" s="17"/>
      <c r="J14" s="20"/>
      <c r="K14" s="35"/>
      <c r="L14" s="23"/>
      <c r="M14" s="198"/>
      <c r="N14" s="199"/>
      <c r="O14" s="49" t="s">
        <v>81</v>
      </c>
      <c r="P14" s="200"/>
      <c r="Q14" s="191"/>
      <c r="R14" s="203"/>
      <c r="U14" s="54"/>
      <c r="V14" s="48"/>
      <c r="W14" s="48"/>
      <c r="X14" s="48"/>
      <c r="Y14" s="48"/>
      <c r="Z14" s="48"/>
      <c r="AA14" s="48"/>
      <c r="AB14" s="48"/>
      <c r="AD14" s="11" t="b">
        <v>1</v>
      </c>
    </row>
    <row r="15" spans="1:30" ht="16.5" customHeight="1">
      <c r="A15" s="16"/>
      <c r="B15" s="44"/>
      <c r="C15" s="45"/>
      <c r="D15" s="53">
        <f>D14*1.36</f>
        <v>27.540000000000003</v>
      </c>
      <c r="E15" s="37" t="s">
        <v>4</v>
      </c>
      <c r="F15" s="38"/>
      <c r="G15" s="39"/>
      <c r="H15" s="28"/>
      <c r="I15" s="221" t="s">
        <v>69</v>
      </c>
      <c r="J15" s="222"/>
      <c r="K15" s="35"/>
      <c r="L15" s="23"/>
      <c r="M15" s="198"/>
      <c r="N15" s="199" t="s">
        <v>78</v>
      </c>
      <c r="O15" s="49" t="s">
        <v>87</v>
      </c>
      <c r="P15" s="51" t="s">
        <v>94</v>
      </c>
      <c r="Q15" s="52" t="s">
        <v>99</v>
      </c>
      <c r="R15" s="55" t="s">
        <v>95</v>
      </c>
      <c r="U15" s="54"/>
      <c r="V15" s="48"/>
      <c r="W15" s="48"/>
      <c r="X15" s="48"/>
      <c r="Y15" s="48"/>
      <c r="Z15" s="48"/>
      <c r="AA15" s="48"/>
      <c r="AB15" s="48"/>
      <c r="AD15" s="11" t="b">
        <v>0</v>
      </c>
    </row>
    <row r="16" spans="1:28" ht="16.5" customHeight="1">
      <c r="A16" s="16"/>
      <c r="B16" s="237" t="s">
        <v>100</v>
      </c>
      <c r="C16" s="238"/>
      <c r="D16" s="53">
        <f>D15/0.75</f>
        <v>36.720000000000006</v>
      </c>
      <c r="E16" s="37" t="s">
        <v>4</v>
      </c>
      <c r="F16" s="38"/>
      <c r="G16" s="39"/>
      <c r="H16" s="40"/>
      <c r="I16" s="33" t="s">
        <v>19</v>
      </c>
      <c r="J16" s="56">
        <v>3</v>
      </c>
      <c r="K16" s="35"/>
      <c r="L16" s="23"/>
      <c r="M16" s="198"/>
      <c r="N16" s="199"/>
      <c r="O16" s="49" t="str">
        <f>CONCATENATE(D$6," cm")</f>
        <v>15 cm</v>
      </c>
      <c r="P16" s="200">
        <f>(32+1.9*D$13)*0.85*13*D$6/10</f>
        <v>813.8324999999999</v>
      </c>
      <c r="Q16" s="190">
        <f>D$13</f>
        <v>9</v>
      </c>
      <c r="R16" s="203">
        <f>P16*10*D$13/3600</f>
        <v>20.345812499999997</v>
      </c>
      <c r="S16" s="48"/>
      <c r="T16" s="48"/>
      <c r="U16" s="48"/>
      <c r="V16" s="54"/>
      <c r="W16" s="54"/>
      <c r="X16" s="54"/>
      <c r="Y16" s="54"/>
      <c r="Z16" s="54"/>
      <c r="AA16" s="54"/>
      <c r="AB16" s="54"/>
    </row>
    <row r="17" spans="1:28" ht="16.5" customHeight="1">
      <c r="A17" s="16"/>
      <c r="B17" s="44"/>
      <c r="C17" s="45"/>
      <c r="D17" s="53"/>
      <c r="E17" s="37"/>
      <c r="F17" s="38"/>
      <c r="G17" s="39"/>
      <c r="H17" s="40"/>
      <c r="I17" s="33" t="s">
        <v>20</v>
      </c>
      <c r="J17" s="56">
        <v>4.5</v>
      </c>
      <c r="K17" s="35"/>
      <c r="L17" s="23"/>
      <c r="M17" s="198"/>
      <c r="N17" s="199"/>
      <c r="O17" s="49" t="s">
        <v>81</v>
      </c>
      <c r="P17" s="200"/>
      <c r="Q17" s="191"/>
      <c r="R17" s="203"/>
      <c r="S17" s="48"/>
      <c r="T17" s="48"/>
      <c r="U17" s="48"/>
      <c r="V17" s="54"/>
      <c r="W17" s="54"/>
      <c r="X17" s="54"/>
      <c r="Y17" s="54"/>
      <c r="Z17" s="54"/>
      <c r="AA17" s="54"/>
      <c r="AB17" s="54"/>
    </row>
    <row r="18" spans="1:30" ht="16.5" customHeight="1">
      <c r="A18" s="16"/>
      <c r="B18" s="237" t="s">
        <v>89</v>
      </c>
      <c r="C18" s="238"/>
      <c r="D18" s="57">
        <f>10/(D13*D7)</f>
        <v>0.24691358024691357</v>
      </c>
      <c r="E18" s="37" t="s">
        <v>37</v>
      </c>
      <c r="F18" s="38"/>
      <c r="G18" s="39"/>
      <c r="H18" s="40"/>
      <c r="I18" s="33" t="s">
        <v>21</v>
      </c>
      <c r="J18" s="56">
        <v>7</v>
      </c>
      <c r="K18" s="35"/>
      <c r="M18" s="198"/>
      <c r="N18" s="241" t="s">
        <v>79</v>
      </c>
      <c r="O18" s="49" t="s">
        <v>87</v>
      </c>
      <c r="P18" s="51" t="s">
        <v>94</v>
      </c>
      <c r="Q18" s="52" t="s">
        <v>99</v>
      </c>
      <c r="R18" s="55" t="s">
        <v>95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D18" s="11" t="b">
        <v>0</v>
      </c>
    </row>
    <row r="19" spans="1:30" ht="16.5" customHeight="1">
      <c r="A19" s="16"/>
      <c r="B19" s="237" t="s">
        <v>38</v>
      </c>
      <c r="C19" s="238"/>
      <c r="D19" s="46">
        <f>IF(AD18=TRUE,J21,IF(AD19=TRUE,J22,IF(AD20=TRUE,J23)))</f>
        <v>0.85</v>
      </c>
      <c r="E19" s="47"/>
      <c r="F19" s="38"/>
      <c r="G19" s="39"/>
      <c r="H19" s="28"/>
      <c r="I19" s="17"/>
      <c r="J19" s="20"/>
      <c r="K19" s="22"/>
      <c r="L19" s="23"/>
      <c r="M19" s="198"/>
      <c r="N19" s="241"/>
      <c r="O19" s="49" t="str">
        <f>CONCATENATE(D$6," cm")</f>
        <v>15 cm</v>
      </c>
      <c r="P19" s="200">
        <f>(32+1.9*D$13)*1*13*D$6/10</f>
        <v>957.45</v>
      </c>
      <c r="Q19" s="190">
        <f>D$13</f>
        <v>9</v>
      </c>
      <c r="R19" s="203">
        <f>P19*10*D$13/3600</f>
        <v>23.93625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D19" s="11" t="b">
        <v>0</v>
      </c>
    </row>
    <row r="20" spans="1:30" ht="16.5" customHeight="1">
      <c r="A20" s="16"/>
      <c r="B20" s="239" t="s">
        <v>90</v>
      </c>
      <c r="C20" s="240"/>
      <c r="D20" s="60">
        <f>D18/D19</f>
        <v>0.29048656499636893</v>
      </c>
      <c r="E20" s="61" t="s">
        <v>37</v>
      </c>
      <c r="F20" s="38"/>
      <c r="G20" s="39"/>
      <c r="H20" s="28"/>
      <c r="I20" s="221" t="s">
        <v>46</v>
      </c>
      <c r="J20" s="222"/>
      <c r="K20" s="35"/>
      <c r="L20" s="23"/>
      <c r="M20" s="198"/>
      <c r="N20" s="241"/>
      <c r="O20" s="49" t="s">
        <v>81</v>
      </c>
      <c r="P20" s="200"/>
      <c r="Q20" s="191"/>
      <c r="R20" s="203"/>
      <c r="S20" s="48"/>
      <c r="T20" s="48"/>
      <c r="U20" s="48"/>
      <c r="V20" s="48"/>
      <c r="W20" s="48"/>
      <c r="X20" s="48"/>
      <c r="Y20" s="48"/>
      <c r="Z20" s="48"/>
      <c r="AA20" s="48"/>
      <c r="AB20" s="48"/>
      <c r="AD20" s="11" t="b">
        <v>1</v>
      </c>
    </row>
    <row r="21" spans="1:28" ht="16.5" customHeight="1">
      <c r="A21" s="16"/>
      <c r="B21" s="62"/>
      <c r="C21" s="63"/>
      <c r="D21" s="60">
        <f>1/D20</f>
        <v>3.4425</v>
      </c>
      <c r="E21" s="61" t="s">
        <v>39</v>
      </c>
      <c r="F21" s="38"/>
      <c r="G21" s="39"/>
      <c r="H21" s="40"/>
      <c r="I21" s="33" t="s">
        <v>19</v>
      </c>
      <c r="J21" s="34">
        <v>0.65</v>
      </c>
      <c r="K21" s="35"/>
      <c r="L21" s="23"/>
      <c r="P21" s="64"/>
      <c r="Q21" s="65"/>
      <c r="R21" s="65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16.5" customHeight="1">
      <c r="A22" s="16"/>
      <c r="B22" s="62"/>
      <c r="C22" s="38"/>
      <c r="D22" s="46"/>
      <c r="E22" s="47"/>
      <c r="F22" s="38"/>
      <c r="G22" s="39"/>
      <c r="H22" s="40"/>
      <c r="I22" s="33" t="s">
        <v>20</v>
      </c>
      <c r="J22" s="34">
        <v>0.75</v>
      </c>
      <c r="K22" s="35"/>
      <c r="L22" s="23"/>
      <c r="M22" s="198" t="s">
        <v>86</v>
      </c>
      <c r="N22" s="199" t="s">
        <v>80</v>
      </c>
      <c r="O22" s="49" t="s">
        <v>88</v>
      </c>
      <c r="P22" s="51" t="s">
        <v>94</v>
      </c>
      <c r="Q22" s="52" t="s">
        <v>99</v>
      </c>
      <c r="R22" s="55" t="s">
        <v>95</v>
      </c>
      <c r="S22" s="54"/>
      <c r="T22" s="54"/>
      <c r="V22" s="48"/>
      <c r="W22" s="48"/>
      <c r="X22" s="48"/>
      <c r="Y22" s="48"/>
      <c r="Z22" s="48"/>
      <c r="AA22" s="48"/>
      <c r="AB22" s="48"/>
    </row>
    <row r="23" spans="1:28" ht="16.5" customHeight="1">
      <c r="A23" s="16"/>
      <c r="B23" s="237" t="s">
        <v>70</v>
      </c>
      <c r="C23" s="238"/>
      <c r="D23" s="46">
        <f>IF(AD24=TRUE,J26,IF(AD25=TRUE,J27,IF(AD26=TRUE,J28)))</f>
        <v>50</v>
      </c>
      <c r="E23" s="37" t="s">
        <v>3</v>
      </c>
      <c r="F23" s="38"/>
      <c r="G23" s="39"/>
      <c r="H23" s="40"/>
      <c r="I23" s="33" t="s">
        <v>21</v>
      </c>
      <c r="J23" s="34">
        <v>0.85</v>
      </c>
      <c r="K23" s="35"/>
      <c r="L23" s="23"/>
      <c r="M23" s="198"/>
      <c r="N23" s="199"/>
      <c r="O23" s="49" t="str">
        <f>CONCATENATE(D$6," cm")</f>
        <v>15 cm</v>
      </c>
      <c r="P23" s="200">
        <f>(32+1.9*D$13)*0.65*21*D$6/10</f>
        <v>1005.3225</v>
      </c>
      <c r="Q23" s="190">
        <f>D$13</f>
        <v>9</v>
      </c>
      <c r="R23" s="203">
        <f>P23*10*D$13/3600</f>
        <v>25.1330625</v>
      </c>
      <c r="S23" s="54"/>
      <c r="T23" s="54"/>
      <c r="V23" s="48"/>
      <c r="W23" s="48"/>
      <c r="X23" s="48"/>
      <c r="Y23" s="48"/>
      <c r="Z23" s="48"/>
      <c r="AA23" s="48"/>
      <c r="AB23" s="48"/>
    </row>
    <row r="24" spans="1:30" ht="16.5" customHeight="1">
      <c r="A24" s="16"/>
      <c r="B24" s="237" t="s">
        <v>41</v>
      </c>
      <c r="C24" s="238"/>
      <c r="D24" s="53">
        <f>D16*100/D23</f>
        <v>73.44000000000001</v>
      </c>
      <c r="E24" s="37" t="s">
        <v>4</v>
      </c>
      <c r="F24" s="38"/>
      <c r="G24" s="39"/>
      <c r="H24" s="28"/>
      <c r="I24" s="17"/>
      <c r="J24" s="17"/>
      <c r="K24" s="22"/>
      <c r="L24" s="23"/>
      <c r="M24" s="198"/>
      <c r="N24" s="199"/>
      <c r="O24" s="49" t="s">
        <v>81</v>
      </c>
      <c r="P24" s="200"/>
      <c r="Q24" s="191"/>
      <c r="R24" s="203"/>
      <c r="S24" s="48"/>
      <c r="T24" s="48"/>
      <c r="AD24" s="11" t="b">
        <v>0</v>
      </c>
    </row>
    <row r="25" spans="1:30" ht="16.5" customHeight="1">
      <c r="A25" s="16"/>
      <c r="B25" s="44"/>
      <c r="C25" s="45"/>
      <c r="D25" s="46"/>
      <c r="E25" s="47"/>
      <c r="F25" s="38"/>
      <c r="G25" s="39"/>
      <c r="H25" s="28"/>
      <c r="I25" s="221" t="s">
        <v>40</v>
      </c>
      <c r="J25" s="222"/>
      <c r="K25" s="35"/>
      <c r="L25" s="23"/>
      <c r="M25" s="198"/>
      <c r="N25" s="199" t="s">
        <v>78</v>
      </c>
      <c r="O25" s="49" t="s">
        <v>88</v>
      </c>
      <c r="P25" s="51" t="s">
        <v>94</v>
      </c>
      <c r="Q25" s="52" t="s">
        <v>99</v>
      </c>
      <c r="R25" s="55" t="s">
        <v>95</v>
      </c>
      <c r="S25" s="48"/>
      <c r="T25" s="48"/>
      <c r="AD25" s="11" t="b">
        <v>1</v>
      </c>
    </row>
    <row r="26" spans="1:30" ht="16.5" customHeight="1">
      <c r="A26" s="16"/>
      <c r="B26" s="237" t="s">
        <v>102</v>
      </c>
      <c r="C26" s="238"/>
      <c r="D26" s="46" t="str">
        <f>IF(AD31=TRUE,"Pequeño",IF(AD32=TRUE,"Mediano",IF(AD33=TRUE,"Grande",IF(AD34=TRUE,"Muy Grande"))))</f>
        <v>Mediano</v>
      </c>
      <c r="E26" s="37"/>
      <c r="F26" s="38"/>
      <c r="G26" s="38"/>
      <c r="H26" s="40"/>
      <c r="I26" s="33" t="s">
        <v>82</v>
      </c>
      <c r="J26" s="34">
        <v>25</v>
      </c>
      <c r="K26" s="35"/>
      <c r="L26" s="23"/>
      <c r="M26" s="198"/>
      <c r="N26" s="199"/>
      <c r="O26" s="49" t="str">
        <f>CONCATENATE(D$6," cm")</f>
        <v>15 cm</v>
      </c>
      <c r="P26" s="200">
        <f>(32+1.9*D$13)*0.85*21*D$6/10</f>
        <v>1314.6524999999997</v>
      </c>
      <c r="Q26" s="190">
        <f>D$13</f>
        <v>9</v>
      </c>
      <c r="R26" s="203">
        <f>P26*10*D$13/3600</f>
        <v>32.86631249999999</v>
      </c>
      <c r="S26" s="48"/>
      <c r="T26" s="48"/>
      <c r="AD26" s="11" t="b">
        <v>0</v>
      </c>
    </row>
    <row r="27" spans="1:20" ht="16.5" customHeight="1">
      <c r="A27" s="16"/>
      <c r="B27" s="244" t="s">
        <v>103</v>
      </c>
      <c r="C27" s="245"/>
      <c r="D27" s="66">
        <f>IF(AD31=TRUE,J31,IF(AD32=TRUE,J32,IF(AD33=TRUE,J33,IF(AD34=TRUE,J34,""))))</f>
        <v>120</v>
      </c>
      <c r="E27" s="67" t="s">
        <v>4</v>
      </c>
      <c r="F27" s="68"/>
      <c r="G27" s="68"/>
      <c r="H27" s="40"/>
      <c r="I27" s="33" t="s">
        <v>17</v>
      </c>
      <c r="J27" s="34">
        <v>50</v>
      </c>
      <c r="K27" s="35"/>
      <c r="M27" s="198"/>
      <c r="N27" s="199"/>
      <c r="O27" s="49" t="s">
        <v>81</v>
      </c>
      <c r="P27" s="200"/>
      <c r="Q27" s="191"/>
      <c r="R27" s="203"/>
      <c r="S27" s="48"/>
      <c r="T27" s="48"/>
    </row>
    <row r="28" spans="1:20" ht="16.5" customHeight="1">
      <c r="A28" s="16"/>
      <c r="B28" s="17"/>
      <c r="C28" s="17"/>
      <c r="D28" s="69"/>
      <c r="E28" s="20"/>
      <c r="F28" s="17"/>
      <c r="G28" s="17"/>
      <c r="H28" s="40"/>
      <c r="I28" s="33" t="s">
        <v>83</v>
      </c>
      <c r="J28" s="34">
        <v>75</v>
      </c>
      <c r="K28" s="35"/>
      <c r="L28" s="23"/>
      <c r="M28" s="198"/>
      <c r="N28" s="241" t="s">
        <v>79</v>
      </c>
      <c r="O28" s="49" t="s">
        <v>88</v>
      </c>
      <c r="P28" s="51" t="s">
        <v>94</v>
      </c>
      <c r="Q28" s="52" t="s">
        <v>99</v>
      </c>
      <c r="R28" s="55" t="s">
        <v>95</v>
      </c>
      <c r="S28" s="48"/>
      <c r="T28" s="48"/>
    </row>
    <row r="29" spans="1:20" ht="16.5" customHeight="1">
      <c r="A29" s="16"/>
      <c r="B29" s="246" t="s">
        <v>84</v>
      </c>
      <c r="C29" s="224"/>
      <c r="D29" s="70"/>
      <c r="E29" s="71"/>
      <c r="F29" s="17"/>
      <c r="G29" s="17"/>
      <c r="H29" s="28"/>
      <c r="I29" s="17"/>
      <c r="J29" s="17"/>
      <c r="K29" s="22"/>
      <c r="L29" s="23"/>
      <c r="M29" s="198"/>
      <c r="N29" s="241"/>
      <c r="O29" s="49" t="str">
        <f>CONCATENATE(D$6," cm")</f>
        <v>15 cm</v>
      </c>
      <c r="P29" s="200">
        <f>(32+1.9*D$13)*1*21*D$6/10</f>
        <v>1546.6499999999999</v>
      </c>
      <c r="Q29" s="190">
        <f>D$13</f>
        <v>9</v>
      </c>
      <c r="R29" s="203">
        <f>P29*10*D$13/3600</f>
        <v>38.66624999999999</v>
      </c>
      <c r="S29" s="48"/>
      <c r="T29" s="48"/>
    </row>
    <row r="30" spans="1:18" ht="16.5" customHeight="1">
      <c r="A30" s="16"/>
      <c r="B30" s="237" t="s">
        <v>9</v>
      </c>
      <c r="C30" s="238"/>
      <c r="D30" s="57">
        <f>IF(D23=J26,J38*D27/1.36,IF(D23=J27,J39*D27/1.36,IF(D23=J28,J40*D27/1.36)))</f>
        <v>13.235294117647058</v>
      </c>
      <c r="E30" s="43" t="s">
        <v>12</v>
      </c>
      <c r="F30" s="17"/>
      <c r="G30" s="17"/>
      <c r="H30" s="28"/>
      <c r="I30" s="223" t="s">
        <v>45</v>
      </c>
      <c r="J30" s="223"/>
      <c r="K30" s="35"/>
      <c r="L30" s="23"/>
      <c r="M30" s="198"/>
      <c r="N30" s="241"/>
      <c r="O30" s="49" t="s">
        <v>81</v>
      </c>
      <c r="P30" s="200"/>
      <c r="Q30" s="191"/>
      <c r="R30" s="203"/>
    </row>
    <row r="31" spans="1:30" ht="16.5" customHeight="1">
      <c r="A31" s="16"/>
      <c r="B31" s="44"/>
      <c r="C31" s="45"/>
      <c r="D31" s="57">
        <f>D30*D20</f>
        <v>3.8446751249519417</v>
      </c>
      <c r="E31" s="43" t="s">
        <v>93</v>
      </c>
      <c r="F31" s="17"/>
      <c r="G31" s="17"/>
      <c r="H31" s="40"/>
      <c r="I31" s="72" t="s">
        <v>71</v>
      </c>
      <c r="J31" s="34">
        <v>90</v>
      </c>
      <c r="K31" s="35"/>
      <c r="L31" s="23"/>
      <c r="M31" s="23"/>
      <c r="U31" s="73"/>
      <c r="AD31" s="11" t="b">
        <v>0</v>
      </c>
    </row>
    <row r="32" spans="1:30" ht="16.5" customHeight="1">
      <c r="A32" s="16"/>
      <c r="B32" s="237" t="s">
        <v>49</v>
      </c>
      <c r="C32" s="238"/>
      <c r="D32" s="74">
        <f>D30*0.1/100</f>
        <v>0.013235294117647059</v>
      </c>
      <c r="E32" s="43" t="s">
        <v>12</v>
      </c>
      <c r="F32" s="17"/>
      <c r="G32" s="17"/>
      <c r="H32" s="40"/>
      <c r="I32" s="33" t="s">
        <v>42</v>
      </c>
      <c r="J32" s="34">
        <v>120</v>
      </c>
      <c r="K32" s="35"/>
      <c r="M32" s="206" t="s">
        <v>68</v>
      </c>
      <c r="N32" s="207"/>
      <c r="O32" s="207"/>
      <c r="P32" s="207"/>
      <c r="Q32" s="207"/>
      <c r="R32" s="208"/>
      <c r="AD32" s="11" t="b">
        <v>1</v>
      </c>
    </row>
    <row r="33" spans="1:30" ht="16.5" customHeight="1">
      <c r="A33" s="16"/>
      <c r="B33" s="62"/>
      <c r="C33" s="38"/>
      <c r="D33" s="74">
        <f>D31*0.1/100</f>
        <v>0.0038446751249519417</v>
      </c>
      <c r="E33" s="43" t="s">
        <v>93</v>
      </c>
      <c r="F33" s="17"/>
      <c r="G33" s="17"/>
      <c r="H33" s="40"/>
      <c r="I33" s="33" t="s">
        <v>43</v>
      </c>
      <c r="J33" s="34">
        <v>150</v>
      </c>
      <c r="K33" s="35"/>
      <c r="M33" s="209"/>
      <c r="N33" s="210"/>
      <c r="O33" s="210"/>
      <c r="P33" s="210"/>
      <c r="Q33" s="210"/>
      <c r="R33" s="211"/>
      <c r="V33" s="73"/>
      <c r="W33" s="73"/>
      <c r="X33" s="73"/>
      <c r="Y33" s="73"/>
      <c r="Z33" s="73"/>
      <c r="AD33" s="11" t="b">
        <v>0</v>
      </c>
    </row>
    <row r="34" spans="1:30" ht="16.5" customHeight="1" thickBot="1">
      <c r="A34" s="16"/>
      <c r="B34" s="242" t="s">
        <v>91</v>
      </c>
      <c r="C34" s="243"/>
      <c r="D34" s="75">
        <v>1</v>
      </c>
      <c r="E34" s="76" t="s">
        <v>6</v>
      </c>
      <c r="F34" s="17"/>
      <c r="G34" s="17"/>
      <c r="H34" s="40"/>
      <c r="I34" s="33" t="s">
        <v>44</v>
      </c>
      <c r="J34" s="34">
        <v>180</v>
      </c>
      <c r="K34" s="35"/>
      <c r="L34" s="23"/>
      <c r="AD34" s="11" t="b">
        <v>0</v>
      </c>
    </row>
    <row r="35" spans="1:20" ht="16.5" customHeight="1" thickTop="1">
      <c r="A35" s="16"/>
      <c r="B35" s="58" t="s">
        <v>92</v>
      </c>
      <c r="C35" s="59"/>
      <c r="D35" s="77">
        <f>D34*D30</f>
        <v>13.235294117647058</v>
      </c>
      <c r="E35" s="78" t="s">
        <v>61</v>
      </c>
      <c r="F35" s="17"/>
      <c r="G35" s="17"/>
      <c r="H35" s="28"/>
      <c r="I35" s="17"/>
      <c r="J35" s="17"/>
      <c r="K35" s="22"/>
      <c r="L35" s="23"/>
      <c r="M35" s="228" t="s">
        <v>113</v>
      </c>
      <c r="N35" s="229"/>
      <c r="O35" s="230"/>
      <c r="S35" s="48"/>
      <c r="T35" s="48"/>
    </row>
    <row r="36" spans="1:20" ht="16.5" customHeight="1">
      <c r="A36" s="16"/>
      <c r="B36" s="79"/>
      <c r="C36" s="80"/>
      <c r="D36" s="81">
        <f>D31*D34</f>
        <v>3.8446751249519417</v>
      </c>
      <c r="E36" s="82" t="s">
        <v>59</v>
      </c>
      <c r="F36" s="17"/>
      <c r="G36" s="17"/>
      <c r="H36" s="28"/>
      <c r="I36" s="223" t="s">
        <v>47</v>
      </c>
      <c r="J36" s="223"/>
      <c r="K36" s="35"/>
      <c r="L36" s="23"/>
      <c r="M36" s="231" t="s">
        <v>103</v>
      </c>
      <c r="N36" s="83">
        <f>D27</f>
        <v>120</v>
      </c>
      <c r="O36" s="84" t="s">
        <v>4</v>
      </c>
      <c r="S36" s="48"/>
      <c r="T36" s="48"/>
    </row>
    <row r="37" spans="1:20" ht="16.5" customHeight="1">
      <c r="A37" s="16"/>
      <c r="B37" s="17"/>
      <c r="C37" s="17"/>
      <c r="D37" s="69"/>
      <c r="E37" s="20"/>
      <c r="F37" s="17"/>
      <c r="G37" s="17"/>
      <c r="H37" s="28"/>
      <c r="I37" s="33" t="s">
        <v>48</v>
      </c>
      <c r="J37" s="34" t="s">
        <v>98</v>
      </c>
      <c r="K37" s="35"/>
      <c r="L37" s="23"/>
      <c r="M37" s="232"/>
      <c r="N37" s="85">
        <f>N36/1.36</f>
        <v>88.23529411764706</v>
      </c>
      <c r="O37" s="84" t="s">
        <v>1</v>
      </c>
      <c r="Q37" s="212" t="s">
        <v>114</v>
      </c>
      <c r="R37" s="213"/>
      <c r="S37" s="86"/>
      <c r="T37" s="86"/>
    </row>
    <row r="38" spans="1:20" ht="16.5" customHeight="1">
      <c r="A38" s="16"/>
      <c r="B38" s="246" t="s">
        <v>85</v>
      </c>
      <c r="C38" s="224"/>
      <c r="D38" s="70"/>
      <c r="E38" s="87"/>
      <c r="F38" s="224"/>
      <c r="G38" s="225"/>
      <c r="H38" s="17"/>
      <c r="I38" s="33" t="s">
        <v>19</v>
      </c>
      <c r="J38" s="88">
        <v>0.1</v>
      </c>
      <c r="K38" s="89"/>
      <c r="M38" s="216" t="s">
        <v>117</v>
      </c>
      <c r="N38" s="83">
        <f>+I54</f>
        <v>560</v>
      </c>
      <c r="O38" s="50" t="s">
        <v>7</v>
      </c>
      <c r="Q38" s="214"/>
      <c r="R38" s="215"/>
      <c r="S38" s="48"/>
      <c r="T38" s="48"/>
    </row>
    <row r="39" spans="1:20" ht="16.5" customHeight="1">
      <c r="A39" s="16"/>
      <c r="B39" s="237" t="s">
        <v>63</v>
      </c>
      <c r="C39" s="238"/>
      <c r="D39" s="46">
        <f>IF(AD41=TRUE,J43,J44)</f>
        <v>100</v>
      </c>
      <c r="E39" s="37" t="s">
        <v>60</v>
      </c>
      <c r="F39" s="38"/>
      <c r="G39" s="39"/>
      <c r="H39" s="17"/>
      <c r="I39" s="33" t="s">
        <v>20</v>
      </c>
      <c r="J39" s="88">
        <v>0.15</v>
      </c>
      <c r="K39" s="89"/>
      <c r="M39" s="217"/>
      <c r="N39" s="90">
        <f>N37*N38</f>
        <v>49411.76470588235</v>
      </c>
      <c r="O39" s="50" t="s">
        <v>0</v>
      </c>
      <c r="Q39" s="85" t="s">
        <v>60</v>
      </c>
      <c r="R39" s="91" t="s">
        <v>115</v>
      </c>
      <c r="S39" s="48"/>
      <c r="T39" s="48"/>
    </row>
    <row r="40" spans="1:21" ht="16.5" customHeight="1">
      <c r="A40" s="16"/>
      <c r="B40" s="44"/>
      <c r="C40" s="45"/>
      <c r="D40" s="46"/>
      <c r="E40" s="47"/>
      <c r="F40" s="38"/>
      <c r="G40" s="39"/>
      <c r="H40" s="17"/>
      <c r="I40" s="33" t="s">
        <v>21</v>
      </c>
      <c r="J40" s="88">
        <v>0.207</v>
      </c>
      <c r="K40" s="89"/>
      <c r="M40" s="216" t="s">
        <v>116</v>
      </c>
      <c r="N40" s="92">
        <v>12000</v>
      </c>
      <c r="O40" s="50" t="s">
        <v>2</v>
      </c>
      <c r="Q40" s="90">
        <v>500</v>
      </c>
      <c r="R40" s="85">
        <f>$N$39/$N$40+$N$39/($N$41*Q40)+($N$39*$N$42*0.6)/(Q40*100)+($N$39*(($N$44+$N$43)/(Q40*100)))+$N$37*$N$46*$N$45</f>
        <v>14.967058823529412</v>
      </c>
      <c r="S40" s="48"/>
      <c r="T40" s="48"/>
      <c r="U40" s="93"/>
    </row>
    <row r="41" spans="1:30" ht="16.5" customHeight="1">
      <c r="A41" s="16"/>
      <c r="B41" s="237" t="s">
        <v>50</v>
      </c>
      <c r="C41" s="238"/>
      <c r="D41" s="41">
        <f>F41*D7</f>
        <v>9900</v>
      </c>
      <c r="E41" s="37" t="s">
        <v>0</v>
      </c>
      <c r="F41" s="94">
        <v>2200</v>
      </c>
      <c r="G41" s="95" t="s">
        <v>111</v>
      </c>
      <c r="H41" s="17"/>
      <c r="I41" s="17"/>
      <c r="J41" s="96"/>
      <c r="K41" s="22"/>
      <c r="M41" s="217"/>
      <c r="N41" s="49">
        <v>20</v>
      </c>
      <c r="O41" s="50" t="s">
        <v>5</v>
      </c>
      <c r="Q41" s="90">
        <v>1000</v>
      </c>
      <c r="R41" s="85">
        <f>$N$39/$N$40+$N$39/($N$41*Q41)+($N$39*$N$42*0.6)/(Q41*100)+($N$39*(($N$44+$N$43)/(Q41*100)))+$N$37*$N$46*$N$45</f>
        <v>10.865882352941176</v>
      </c>
      <c r="S41" s="48"/>
      <c r="T41" s="48"/>
      <c r="U41" s="93"/>
      <c r="AD41" s="11" t="b">
        <v>1</v>
      </c>
    </row>
    <row r="42" spans="1:30" ht="16.5" customHeight="1">
      <c r="A42" s="16"/>
      <c r="B42" s="62"/>
      <c r="C42" s="38"/>
      <c r="D42" s="41"/>
      <c r="E42" s="47"/>
      <c r="F42" s="38"/>
      <c r="G42" s="39"/>
      <c r="H42" s="17"/>
      <c r="I42" s="223" t="s">
        <v>108</v>
      </c>
      <c r="J42" s="223"/>
      <c r="K42" s="35"/>
      <c r="M42" s="97" t="s">
        <v>118</v>
      </c>
      <c r="N42" s="98">
        <f>+D45</f>
        <v>5</v>
      </c>
      <c r="O42" s="50" t="s">
        <v>3</v>
      </c>
      <c r="S42" s="48"/>
      <c r="T42" s="48"/>
      <c r="U42" s="99"/>
      <c r="AD42" s="11" t="b">
        <v>0</v>
      </c>
    </row>
    <row r="43" spans="1:21" ht="16.5" customHeight="1">
      <c r="A43" s="16"/>
      <c r="B43" s="237" t="s">
        <v>51</v>
      </c>
      <c r="C43" s="238"/>
      <c r="D43" s="100">
        <v>3000</v>
      </c>
      <c r="E43" s="37" t="s">
        <v>57</v>
      </c>
      <c r="F43" s="57">
        <f>+$D$41/$D43</f>
        <v>3.3</v>
      </c>
      <c r="G43" s="95" t="s">
        <v>61</v>
      </c>
      <c r="H43" s="101"/>
      <c r="I43" s="33" t="s">
        <v>19</v>
      </c>
      <c r="J43" s="56">
        <v>100</v>
      </c>
      <c r="K43" s="35"/>
      <c r="M43" s="97" t="s">
        <v>8</v>
      </c>
      <c r="N43" s="98">
        <v>0.2</v>
      </c>
      <c r="O43" s="50" t="s">
        <v>3</v>
      </c>
      <c r="S43" s="48"/>
      <c r="T43" s="48"/>
      <c r="U43" s="99"/>
    </row>
    <row r="44" spans="1:26" ht="16.5" customHeight="1">
      <c r="A44" s="16"/>
      <c r="B44" s="237" t="s">
        <v>52</v>
      </c>
      <c r="C44" s="238"/>
      <c r="D44" s="102">
        <v>20</v>
      </c>
      <c r="E44" s="37" t="s">
        <v>5</v>
      </c>
      <c r="F44" s="57">
        <f>+$D$41/($D44*D39)</f>
        <v>4.95</v>
      </c>
      <c r="G44" s="95" t="s">
        <v>61</v>
      </c>
      <c r="H44" s="101"/>
      <c r="I44" s="33" t="s">
        <v>21</v>
      </c>
      <c r="J44" s="103">
        <v>200</v>
      </c>
      <c r="K44" s="104"/>
      <c r="M44" s="97" t="s">
        <v>10</v>
      </c>
      <c r="N44" s="98">
        <v>0.1</v>
      </c>
      <c r="O44" s="50" t="s">
        <v>3</v>
      </c>
      <c r="P44" s="105"/>
      <c r="Q44" s="105"/>
      <c r="R44" s="105"/>
      <c r="S44" s="48"/>
      <c r="T44" s="48"/>
      <c r="U44" s="99"/>
      <c r="V44" s="93"/>
      <c r="W44" s="93"/>
      <c r="X44" s="93"/>
      <c r="Y44" s="93"/>
      <c r="Z44" s="93"/>
    </row>
    <row r="45" spans="1:26" ht="16.5" customHeight="1">
      <c r="A45" s="16"/>
      <c r="B45" s="237" t="s">
        <v>53</v>
      </c>
      <c r="C45" s="238"/>
      <c r="D45" s="102">
        <v>5</v>
      </c>
      <c r="E45" s="37" t="s">
        <v>3</v>
      </c>
      <c r="F45" s="57">
        <f>+$D$41*0.006*$D45/D39</f>
        <v>2.97</v>
      </c>
      <c r="G45" s="95" t="s">
        <v>61</v>
      </c>
      <c r="H45" s="17"/>
      <c r="I45" s="17"/>
      <c r="J45" s="96"/>
      <c r="K45" s="22"/>
      <c r="M45" s="106" t="s">
        <v>112</v>
      </c>
      <c r="N45" s="98">
        <v>0.2</v>
      </c>
      <c r="O45" s="107" t="s">
        <v>6</v>
      </c>
      <c r="P45" s="105"/>
      <c r="Q45" s="105"/>
      <c r="R45" s="105"/>
      <c r="U45" s="99"/>
      <c r="V45" s="93"/>
      <c r="W45" s="93"/>
      <c r="X45" s="93"/>
      <c r="Y45" s="93"/>
      <c r="Z45" s="93"/>
    </row>
    <row r="46" spans="1:28" ht="16.5" customHeight="1">
      <c r="A46" s="16"/>
      <c r="B46" s="237" t="s">
        <v>54</v>
      </c>
      <c r="C46" s="238"/>
      <c r="D46" s="102">
        <v>0.2</v>
      </c>
      <c r="E46" s="37" t="s">
        <v>58</v>
      </c>
      <c r="F46" s="57">
        <f>+$D$41*$D46/(100*D39)</f>
        <v>0.198</v>
      </c>
      <c r="G46" s="95" t="s">
        <v>61</v>
      </c>
      <c r="H46" s="17"/>
      <c r="I46" s="17"/>
      <c r="J46" s="96"/>
      <c r="K46" s="22"/>
      <c r="M46" s="106" t="s">
        <v>119</v>
      </c>
      <c r="N46" s="108">
        <v>0.15</v>
      </c>
      <c r="O46" s="109" t="s">
        <v>11</v>
      </c>
      <c r="P46" s="105"/>
      <c r="Q46" s="105"/>
      <c r="R46" s="105"/>
      <c r="U46" s="99"/>
      <c r="V46" s="99"/>
      <c r="W46" s="99"/>
      <c r="X46" s="99"/>
      <c r="Y46" s="99"/>
      <c r="Z46" s="99"/>
      <c r="AA46" s="99"/>
      <c r="AB46" s="99"/>
    </row>
    <row r="47" spans="1:28" ht="16.5" customHeight="1" thickBot="1">
      <c r="A47" s="16"/>
      <c r="B47" s="237" t="s">
        <v>55</v>
      </c>
      <c r="C47" s="238"/>
      <c r="D47" s="102">
        <v>0.1</v>
      </c>
      <c r="E47" s="37" t="s">
        <v>58</v>
      </c>
      <c r="F47" s="57">
        <f>+$D$41*$D47/(D39*100)</f>
        <v>0.099</v>
      </c>
      <c r="G47" s="95" t="s">
        <v>61</v>
      </c>
      <c r="H47" s="17"/>
      <c r="I47" s="17"/>
      <c r="J47" s="96"/>
      <c r="K47" s="110"/>
      <c r="U47" s="93"/>
      <c r="V47" s="99"/>
      <c r="W47" s="99"/>
      <c r="X47" s="99"/>
      <c r="Y47" s="99"/>
      <c r="Z47" s="99"/>
      <c r="AA47" s="99"/>
      <c r="AB47" s="99"/>
    </row>
    <row r="48" spans="1:28" ht="16.5" customHeight="1" thickBot="1">
      <c r="A48" s="16"/>
      <c r="B48" s="248" t="s">
        <v>56</v>
      </c>
      <c r="C48" s="249"/>
      <c r="D48" s="75">
        <v>0.9</v>
      </c>
      <c r="E48" s="111" t="s">
        <v>59</v>
      </c>
      <c r="F48" s="112">
        <f>+D48/D20</f>
        <v>3.0982499999999997</v>
      </c>
      <c r="G48" s="113" t="s">
        <v>61</v>
      </c>
      <c r="H48" s="17"/>
      <c r="I48" s="219" t="str">
        <f>CONCATENATE("Vida útil para ",D39," h/año")</f>
        <v>Vida útil para 100 h/año</v>
      </c>
      <c r="J48" s="220"/>
      <c r="K48" s="114"/>
      <c r="M48" s="233" t="s">
        <v>73</v>
      </c>
      <c r="N48" s="192" t="s">
        <v>74</v>
      </c>
      <c r="O48" s="192" t="s">
        <v>75</v>
      </c>
      <c r="P48" s="226" t="s">
        <v>101</v>
      </c>
      <c r="Q48" s="192" t="s">
        <v>76</v>
      </c>
      <c r="R48" s="192" t="s">
        <v>97</v>
      </c>
      <c r="S48" s="204" t="s">
        <v>77</v>
      </c>
      <c r="T48" s="201" t="s">
        <v>96</v>
      </c>
      <c r="U48" s="93"/>
      <c r="V48" s="99"/>
      <c r="W48" s="99"/>
      <c r="X48" s="99"/>
      <c r="Y48" s="99"/>
      <c r="Z48" s="99"/>
      <c r="AA48" s="99"/>
      <c r="AB48" s="99"/>
    </row>
    <row r="49" spans="1:28" ht="16.5" customHeight="1" thickBot="1" thickTop="1">
      <c r="A49" s="16"/>
      <c r="B49" s="115" t="s">
        <v>62</v>
      </c>
      <c r="C49" s="116"/>
      <c r="D49" s="117"/>
      <c r="E49" s="118"/>
      <c r="F49" s="119">
        <f>SUM(F43:F48)</f>
        <v>14.615250000000001</v>
      </c>
      <c r="G49" s="120" t="s">
        <v>61</v>
      </c>
      <c r="H49" s="17"/>
      <c r="I49" s="121" t="s">
        <v>57</v>
      </c>
      <c r="J49" s="122">
        <f>+$D$41/($F$43+$F$44)</f>
        <v>1200</v>
      </c>
      <c r="K49" s="123"/>
      <c r="M49" s="234"/>
      <c r="N49" s="193"/>
      <c r="O49" s="193"/>
      <c r="P49" s="227"/>
      <c r="Q49" s="193"/>
      <c r="R49" s="193"/>
      <c r="S49" s="205"/>
      <c r="T49" s="202"/>
      <c r="U49" s="99"/>
      <c r="V49" s="99"/>
      <c r="W49" s="99"/>
      <c r="X49" s="99"/>
      <c r="Y49" s="99"/>
      <c r="Z49" s="99"/>
      <c r="AA49" s="99"/>
      <c r="AB49" s="99"/>
    </row>
    <row r="50" spans="1:28" ht="16.5" customHeight="1">
      <c r="A50" s="16"/>
      <c r="B50" s="124"/>
      <c r="C50" s="125"/>
      <c r="D50" s="126"/>
      <c r="E50" s="126"/>
      <c r="F50" s="127">
        <f>+F49*D20</f>
        <v>4.245533769063181</v>
      </c>
      <c r="G50" s="128" t="s">
        <v>59</v>
      </c>
      <c r="H50" s="17"/>
      <c r="I50" s="121" t="s">
        <v>5</v>
      </c>
      <c r="J50" s="129">
        <f>+$D$41/($D$39*($F$43+$F$44))</f>
        <v>12</v>
      </c>
      <c r="K50" s="22"/>
      <c r="M50" s="130">
        <v>180</v>
      </c>
      <c r="N50" s="131">
        <v>75</v>
      </c>
      <c r="O50" s="131">
        <f>N50/100*M50</f>
        <v>135</v>
      </c>
      <c r="P50" s="132">
        <f aca="true" t="shared" si="0" ref="P50:P61">0.75*O50</f>
        <v>101.25</v>
      </c>
      <c r="Q50" s="131">
        <f aca="true" t="shared" si="1" ref="Q50:Q61">$D$13</f>
        <v>9</v>
      </c>
      <c r="R50" s="131">
        <f aca="true" t="shared" si="2" ref="R50:R61">D$11*J$8</f>
        <v>18</v>
      </c>
      <c r="S50" s="131">
        <f aca="true" t="shared" si="3" ref="S50:S61">D$6</f>
        <v>15</v>
      </c>
      <c r="T50" s="133">
        <f aca="true" t="shared" si="4" ref="T50:T61">P50*3600*0.1/(1.36*Q50*R50*S50)</f>
        <v>11.029411764705884</v>
      </c>
      <c r="U50" s="99"/>
      <c r="V50" s="99"/>
      <c r="W50" s="99"/>
      <c r="X50" s="99"/>
      <c r="Y50" s="99"/>
      <c r="Z50" s="99"/>
      <c r="AA50" s="99"/>
      <c r="AB50" s="99"/>
    </row>
    <row r="51" spans="1:28" ht="16.5" customHeight="1">
      <c r="A51" s="16"/>
      <c r="B51" s="134"/>
      <c r="C51" s="135"/>
      <c r="D51" s="20"/>
      <c r="E51" s="20"/>
      <c r="F51" s="136"/>
      <c r="G51" s="137"/>
      <c r="H51" s="17"/>
      <c r="I51" s="17"/>
      <c r="J51" s="17"/>
      <c r="K51" s="22"/>
      <c r="M51" s="138">
        <v>180</v>
      </c>
      <c r="N51" s="139">
        <v>50</v>
      </c>
      <c r="O51" s="139">
        <f aca="true" t="shared" si="5" ref="O51:O61">N51/100*M51</f>
        <v>90</v>
      </c>
      <c r="P51" s="140">
        <f t="shared" si="0"/>
        <v>67.5</v>
      </c>
      <c r="Q51" s="139">
        <f t="shared" si="1"/>
        <v>9</v>
      </c>
      <c r="R51" s="139">
        <f t="shared" si="2"/>
        <v>18</v>
      </c>
      <c r="S51" s="139">
        <f t="shared" si="3"/>
        <v>15</v>
      </c>
      <c r="T51" s="141">
        <f t="shared" si="4"/>
        <v>7.352941176470589</v>
      </c>
      <c r="U51" s="99"/>
      <c r="V51" s="99"/>
      <c r="W51" s="99"/>
      <c r="X51" s="99"/>
      <c r="Y51" s="99"/>
      <c r="Z51" s="99"/>
      <c r="AA51" s="99"/>
      <c r="AB51" s="99"/>
    </row>
    <row r="52" spans="1:28" ht="16.5" customHeight="1" thickBot="1">
      <c r="A52" s="16"/>
      <c r="B52" s="182" t="s">
        <v>65</v>
      </c>
      <c r="C52" s="182"/>
      <c r="D52" s="182"/>
      <c r="E52" s="183" t="s">
        <v>120</v>
      </c>
      <c r="F52" s="183"/>
      <c r="G52" s="142"/>
      <c r="H52" s="17"/>
      <c r="I52" s="17"/>
      <c r="J52" s="17"/>
      <c r="K52" s="22"/>
      <c r="M52" s="143">
        <v>180</v>
      </c>
      <c r="N52" s="144">
        <v>25</v>
      </c>
      <c r="O52" s="144">
        <f t="shared" si="5"/>
        <v>45</v>
      </c>
      <c r="P52" s="145">
        <f t="shared" si="0"/>
        <v>33.75</v>
      </c>
      <c r="Q52" s="144">
        <f t="shared" si="1"/>
        <v>9</v>
      </c>
      <c r="R52" s="144">
        <f t="shared" si="2"/>
        <v>18</v>
      </c>
      <c r="S52" s="144">
        <f t="shared" si="3"/>
        <v>15</v>
      </c>
      <c r="T52" s="146">
        <f t="shared" si="4"/>
        <v>3.6764705882352944</v>
      </c>
      <c r="U52" s="99"/>
      <c r="W52" s="99"/>
      <c r="X52" s="99"/>
      <c r="Y52" s="99"/>
      <c r="Z52" s="99"/>
      <c r="AA52" s="99"/>
      <c r="AB52" s="99"/>
    </row>
    <row r="53" spans="1:28" ht="16.5" customHeight="1">
      <c r="A53" s="16"/>
      <c r="B53" s="184" t="s">
        <v>107</v>
      </c>
      <c r="C53" s="185"/>
      <c r="D53" s="147" t="s">
        <v>106</v>
      </c>
      <c r="E53" s="121" t="s">
        <v>61</v>
      </c>
      <c r="F53" s="121" t="s">
        <v>59</v>
      </c>
      <c r="G53" s="142"/>
      <c r="H53" s="17"/>
      <c r="I53" s="247" t="s">
        <v>125</v>
      </c>
      <c r="J53" s="247"/>
      <c r="K53" s="22"/>
      <c r="M53" s="148">
        <v>150</v>
      </c>
      <c r="N53" s="131">
        <v>75</v>
      </c>
      <c r="O53" s="131">
        <f t="shared" si="5"/>
        <v>112.5</v>
      </c>
      <c r="P53" s="132">
        <f t="shared" si="0"/>
        <v>84.375</v>
      </c>
      <c r="Q53" s="131">
        <f t="shared" si="1"/>
        <v>9</v>
      </c>
      <c r="R53" s="131">
        <f t="shared" si="2"/>
        <v>18</v>
      </c>
      <c r="S53" s="131">
        <f t="shared" si="3"/>
        <v>15</v>
      </c>
      <c r="T53" s="133">
        <f t="shared" si="4"/>
        <v>9.191176470588236</v>
      </c>
      <c r="U53" s="99"/>
      <c r="W53" s="99"/>
      <c r="X53" s="99"/>
      <c r="Y53" s="99"/>
      <c r="Z53" s="99"/>
      <c r="AA53" s="99"/>
      <c r="AB53" s="99"/>
    </row>
    <row r="54" spans="1:28" ht="16.5" customHeight="1">
      <c r="A54" s="16"/>
      <c r="B54" s="33"/>
      <c r="C54" s="33" t="s">
        <v>105</v>
      </c>
      <c r="D54" s="149">
        <f>R40</f>
        <v>14.967058823529412</v>
      </c>
      <c r="E54" s="129">
        <f>IF(AD62=TRUE,D54+D35,D54*0)</f>
        <v>28.20235294117647</v>
      </c>
      <c r="F54" s="150">
        <f>E54*$D$20</f>
        <v>8.192404630697595</v>
      </c>
      <c r="G54" s="151">
        <f>IF(AD62=TRUE,F54,F54*0)</f>
        <v>8.192404630697595</v>
      </c>
      <c r="H54" s="17"/>
      <c r="I54" s="152">
        <v>560</v>
      </c>
      <c r="J54" s="153" t="s">
        <v>126</v>
      </c>
      <c r="K54" s="22"/>
      <c r="M54" s="154">
        <v>150</v>
      </c>
      <c r="N54" s="139">
        <v>50</v>
      </c>
      <c r="O54" s="139">
        <f t="shared" si="5"/>
        <v>75</v>
      </c>
      <c r="P54" s="140">
        <f t="shared" si="0"/>
        <v>56.25</v>
      </c>
      <c r="Q54" s="139">
        <f t="shared" si="1"/>
        <v>9</v>
      </c>
      <c r="R54" s="139">
        <f t="shared" si="2"/>
        <v>18</v>
      </c>
      <c r="S54" s="139">
        <f t="shared" si="3"/>
        <v>15</v>
      </c>
      <c r="T54" s="141">
        <f t="shared" si="4"/>
        <v>6.127450980392157</v>
      </c>
      <c r="U54" s="99"/>
      <c r="W54" s="99"/>
      <c r="X54" s="99"/>
      <c r="Y54" s="99"/>
      <c r="Z54" s="99"/>
      <c r="AA54" s="99"/>
      <c r="AB54" s="99"/>
    </row>
    <row r="55" spans="1:28" ht="16.5" customHeight="1" thickBot="1">
      <c r="A55" s="16"/>
      <c r="B55" s="33"/>
      <c r="C55" s="33" t="s">
        <v>104</v>
      </c>
      <c r="D55" s="149">
        <f>R41</f>
        <v>10.865882352941176</v>
      </c>
      <c r="E55" s="129">
        <f>IF(AD63=TRUE,D55+D35,D55*0)</f>
        <v>0</v>
      </c>
      <c r="F55" s="150">
        <f>E55*$D$20</f>
        <v>0</v>
      </c>
      <c r="G55" s="155">
        <f>IF(AD63=TRUE,F55,F55*0)</f>
        <v>0</v>
      </c>
      <c r="H55" s="17"/>
      <c r="I55" s="17"/>
      <c r="J55" s="17"/>
      <c r="K55" s="22"/>
      <c r="M55" s="156">
        <v>150</v>
      </c>
      <c r="N55" s="144">
        <v>25</v>
      </c>
      <c r="O55" s="144">
        <f t="shared" si="5"/>
        <v>37.5</v>
      </c>
      <c r="P55" s="145">
        <f t="shared" si="0"/>
        <v>28.125</v>
      </c>
      <c r="Q55" s="144">
        <f t="shared" si="1"/>
        <v>9</v>
      </c>
      <c r="R55" s="144">
        <f t="shared" si="2"/>
        <v>18</v>
      </c>
      <c r="S55" s="144">
        <f t="shared" si="3"/>
        <v>15</v>
      </c>
      <c r="T55" s="146">
        <f t="shared" si="4"/>
        <v>3.0637254901960786</v>
      </c>
      <c r="U55" s="99"/>
      <c r="W55" s="99"/>
      <c r="X55" s="99"/>
      <c r="Y55" s="99"/>
      <c r="Z55" s="99"/>
      <c r="AA55" s="99"/>
      <c r="AB55" s="99"/>
    </row>
    <row r="56" spans="1:28" ht="16.5" customHeight="1">
      <c r="A56" s="16"/>
      <c r="B56" s="17"/>
      <c r="C56" s="135"/>
      <c r="D56" s="20"/>
      <c r="E56" s="18"/>
      <c r="F56" s="157"/>
      <c r="G56" s="142"/>
      <c r="H56" s="17"/>
      <c r="I56" s="17"/>
      <c r="J56" s="17"/>
      <c r="K56" s="22"/>
      <c r="M56" s="158">
        <v>120</v>
      </c>
      <c r="N56" s="131">
        <v>75</v>
      </c>
      <c r="O56" s="131">
        <f t="shared" si="5"/>
        <v>90</v>
      </c>
      <c r="P56" s="132">
        <f t="shared" si="0"/>
        <v>67.5</v>
      </c>
      <c r="Q56" s="131">
        <f t="shared" si="1"/>
        <v>9</v>
      </c>
      <c r="R56" s="131">
        <f t="shared" si="2"/>
        <v>18</v>
      </c>
      <c r="S56" s="131">
        <f t="shared" si="3"/>
        <v>15</v>
      </c>
      <c r="T56" s="133">
        <f t="shared" si="4"/>
        <v>7.352941176470589</v>
      </c>
      <c r="U56" s="99"/>
      <c r="W56" s="99"/>
      <c r="X56" s="99"/>
      <c r="Y56" s="99"/>
      <c r="Z56" s="99"/>
      <c r="AA56" s="99"/>
      <c r="AB56" s="99"/>
    </row>
    <row r="57" spans="1:28" ht="16.5" customHeight="1">
      <c r="A57" s="16"/>
      <c r="B57" s="186" t="s">
        <v>121</v>
      </c>
      <c r="C57" s="187"/>
      <c r="D57" s="188"/>
      <c r="E57" s="189" t="s">
        <v>62</v>
      </c>
      <c r="F57" s="189"/>
      <c r="G57" s="142"/>
      <c r="H57" s="17"/>
      <c r="I57" s="17"/>
      <c r="J57" s="17"/>
      <c r="K57" s="22"/>
      <c r="M57" s="159">
        <v>120</v>
      </c>
      <c r="N57" s="139">
        <v>50</v>
      </c>
      <c r="O57" s="139">
        <f t="shared" si="5"/>
        <v>60</v>
      </c>
      <c r="P57" s="140">
        <f t="shared" si="0"/>
        <v>45</v>
      </c>
      <c r="Q57" s="139">
        <f t="shared" si="1"/>
        <v>9</v>
      </c>
      <c r="R57" s="139">
        <f t="shared" si="2"/>
        <v>18</v>
      </c>
      <c r="S57" s="139">
        <f t="shared" si="3"/>
        <v>15</v>
      </c>
      <c r="T57" s="141">
        <f t="shared" si="4"/>
        <v>4.901960784313726</v>
      </c>
      <c r="U57" s="99"/>
      <c r="W57" s="99"/>
      <c r="X57" s="99"/>
      <c r="Y57" s="99"/>
      <c r="Z57" s="99"/>
      <c r="AA57" s="99"/>
      <c r="AB57" s="99"/>
    </row>
    <row r="58" spans="1:21" ht="16.5" customHeight="1" thickBot="1">
      <c r="A58" s="16"/>
      <c r="B58" s="184" t="s">
        <v>107</v>
      </c>
      <c r="C58" s="185"/>
      <c r="D58" s="160" t="s">
        <v>64</v>
      </c>
      <c r="E58" s="196" t="s">
        <v>59</v>
      </c>
      <c r="F58" s="197"/>
      <c r="G58" s="28"/>
      <c r="H58" s="17"/>
      <c r="I58" s="17"/>
      <c r="J58" s="17"/>
      <c r="K58" s="22"/>
      <c r="M58" s="161">
        <v>120</v>
      </c>
      <c r="N58" s="144">
        <v>25</v>
      </c>
      <c r="O58" s="144">
        <f t="shared" si="5"/>
        <v>30</v>
      </c>
      <c r="P58" s="145">
        <f t="shared" si="0"/>
        <v>22.5</v>
      </c>
      <c r="Q58" s="144">
        <f t="shared" si="1"/>
        <v>9</v>
      </c>
      <c r="R58" s="144">
        <f t="shared" si="2"/>
        <v>18</v>
      </c>
      <c r="S58" s="144">
        <f t="shared" si="3"/>
        <v>15</v>
      </c>
      <c r="T58" s="146">
        <f t="shared" si="4"/>
        <v>2.450980392156863</v>
      </c>
      <c r="U58" s="99"/>
    </row>
    <row r="59" spans="1:21" ht="16.5" customHeight="1">
      <c r="A59" s="16"/>
      <c r="B59" s="33"/>
      <c r="C59" s="33" t="str">
        <f>IF(D39=J43,"Baja","Alta")</f>
        <v>Baja</v>
      </c>
      <c r="D59" s="162">
        <f>D39*D21</f>
        <v>344.25</v>
      </c>
      <c r="E59" s="180">
        <f>+F50+$G$54+$G$55</f>
        <v>12.437938399760776</v>
      </c>
      <c r="F59" s="181" t="e">
        <f>$D$19*($D$40/$D$42)+$D$40/($D$43*D59*$D$19)+(($D$40*0.006*$D$44)/(D59*$D$19))+$D$40*($D$45+$D$46)/(100*D59*$D$19)+($D$47/$D$19)+#REF!</f>
        <v>#DIV/0!</v>
      </c>
      <c r="G59" s="28"/>
      <c r="H59" s="17"/>
      <c r="I59" s="17"/>
      <c r="J59" s="17"/>
      <c r="K59" s="22"/>
      <c r="M59" s="163">
        <v>90</v>
      </c>
      <c r="N59" s="131">
        <v>75</v>
      </c>
      <c r="O59" s="131">
        <f t="shared" si="5"/>
        <v>67.5</v>
      </c>
      <c r="P59" s="132">
        <f t="shared" si="0"/>
        <v>50.625</v>
      </c>
      <c r="Q59" s="131">
        <f t="shared" si="1"/>
        <v>9</v>
      </c>
      <c r="R59" s="131">
        <f t="shared" si="2"/>
        <v>18</v>
      </c>
      <c r="S59" s="131">
        <f t="shared" si="3"/>
        <v>15</v>
      </c>
      <c r="T59" s="133">
        <f t="shared" si="4"/>
        <v>5.514705882352942</v>
      </c>
      <c r="U59" s="99"/>
    </row>
    <row r="60" spans="1:21" ht="16.5" customHeight="1">
      <c r="A60" s="16"/>
      <c r="B60" s="17"/>
      <c r="C60" s="164"/>
      <c r="D60" s="20"/>
      <c r="E60" s="20"/>
      <c r="F60" s="165"/>
      <c r="G60" s="28"/>
      <c r="H60" s="17"/>
      <c r="I60" s="17"/>
      <c r="J60" s="17"/>
      <c r="K60" s="22"/>
      <c r="M60" s="166">
        <v>90</v>
      </c>
      <c r="N60" s="139">
        <v>50</v>
      </c>
      <c r="O60" s="139">
        <f t="shared" si="5"/>
        <v>45</v>
      </c>
      <c r="P60" s="140">
        <f t="shared" si="0"/>
        <v>33.75</v>
      </c>
      <c r="Q60" s="139">
        <f t="shared" si="1"/>
        <v>9</v>
      </c>
      <c r="R60" s="139">
        <f t="shared" si="2"/>
        <v>18</v>
      </c>
      <c r="S60" s="139">
        <f t="shared" si="3"/>
        <v>15</v>
      </c>
      <c r="T60" s="141">
        <f t="shared" si="4"/>
        <v>3.6764705882352944</v>
      </c>
      <c r="U60" s="99"/>
    </row>
    <row r="61" spans="1:20" ht="16.5" customHeight="1" thickBot="1">
      <c r="A61" s="16"/>
      <c r="B61" s="17"/>
      <c r="C61" s="135"/>
      <c r="D61" s="20"/>
      <c r="E61" s="18"/>
      <c r="F61" s="165"/>
      <c r="G61" s="142"/>
      <c r="H61" s="17"/>
      <c r="I61" s="17"/>
      <c r="J61" s="17"/>
      <c r="K61" s="22"/>
      <c r="M61" s="167">
        <v>90</v>
      </c>
      <c r="N61" s="168">
        <v>25</v>
      </c>
      <c r="O61" s="168">
        <f t="shared" si="5"/>
        <v>22.5</v>
      </c>
      <c r="P61" s="145">
        <f t="shared" si="0"/>
        <v>16.875</v>
      </c>
      <c r="Q61" s="168">
        <f t="shared" si="1"/>
        <v>9</v>
      </c>
      <c r="R61" s="168">
        <f t="shared" si="2"/>
        <v>18</v>
      </c>
      <c r="S61" s="168">
        <f t="shared" si="3"/>
        <v>15</v>
      </c>
      <c r="T61" s="169">
        <f t="shared" si="4"/>
        <v>1.8382352941176472</v>
      </c>
    </row>
    <row r="62" spans="1:30" ht="16.5" customHeight="1">
      <c r="A62" s="170"/>
      <c r="B62" s="171"/>
      <c r="C62" s="171"/>
      <c r="D62" s="172"/>
      <c r="E62" s="173"/>
      <c r="F62" s="174"/>
      <c r="G62" s="175"/>
      <c r="H62" s="176"/>
      <c r="I62" s="176"/>
      <c r="J62" s="176"/>
      <c r="K62" s="177"/>
      <c r="AD62" s="11" t="b">
        <v>1</v>
      </c>
    </row>
    <row r="63" spans="7:30" ht="16.5" customHeight="1">
      <c r="G63" s="178"/>
      <c r="K63" s="179"/>
      <c r="AD63" s="11" t="b">
        <v>0</v>
      </c>
    </row>
    <row r="64" ht="16.5" customHeight="1">
      <c r="K64" s="179"/>
    </row>
    <row r="65" ht="16.5" customHeight="1"/>
    <row r="66" ht="16.5" customHeight="1"/>
    <row r="67" ht="16.5" customHeight="1">
      <c r="AD67" s="11" t="b">
        <v>1</v>
      </c>
    </row>
    <row r="68" ht="16.5" customHeight="1">
      <c r="AD68" s="11" t="b">
        <v>0</v>
      </c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</sheetData>
  <sheetProtection/>
  <mergeCells count="89">
    <mergeCell ref="I53:J53"/>
    <mergeCell ref="P29:P30"/>
    <mergeCell ref="B47:C47"/>
    <mergeCell ref="B48:C48"/>
    <mergeCell ref="B39:C39"/>
    <mergeCell ref="B41:C41"/>
    <mergeCell ref="I30:J30"/>
    <mergeCell ref="B43:C43"/>
    <mergeCell ref="B44:C44"/>
    <mergeCell ref="B38:C38"/>
    <mergeCell ref="B34:C34"/>
    <mergeCell ref="B11:C11"/>
    <mergeCell ref="B45:C45"/>
    <mergeCell ref="B46:C46"/>
    <mergeCell ref="B26:C26"/>
    <mergeCell ref="B27:C27"/>
    <mergeCell ref="B30:C30"/>
    <mergeCell ref="B32:C32"/>
    <mergeCell ref="B29:C29"/>
    <mergeCell ref="B19:C19"/>
    <mergeCell ref="B20:C20"/>
    <mergeCell ref="B23:C23"/>
    <mergeCell ref="P19:P20"/>
    <mergeCell ref="M22:M30"/>
    <mergeCell ref="N22:N24"/>
    <mergeCell ref="P23:P24"/>
    <mergeCell ref="N25:N27"/>
    <mergeCell ref="P26:P27"/>
    <mergeCell ref="N18:N20"/>
    <mergeCell ref="N28:N30"/>
    <mergeCell ref="B6:C6"/>
    <mergeCell ref="B7:C7"/>
    <mergeCell ref="B8:C8"/>
    <mergeCell ref="B10:C10"/>
    <mergeCell ref="B24:C24"/>
    <mergeCell ref="B12:C12"/>
    <mergeCell ref="B13:C13"/>
    <mergeCell ref="B14:C14"/>
    <mergeCell ref="B18:C18"/>
    <mergeCell ref="B16:C16"/>
    <mergeCell ref="P48:P49"/>
    <mergeCell ref="M35:O35"/>
    <mergeCell ref="M36:M37"/>
    <mergeCell ref="M38:M39"/>
    <mergeCell ref="M48:M49"/>
    <mergeCell ref="N48:N49"/>
    <mergeCell ref="O48:O49"/>
    <mergeCell ref="Q29:Q30"/>
    <mergeCell ref="D4:H4"/>
    <mergeCell ref="I48:J48"/>
    <mergeCell ref="I11:J11"/>
    <mergeCell ref="I15:J15"/>
    <mergeCell ref="I20:J20"/>
    <mergeCell ref="I25:J25"/>
    <mergeCell ref="I36:J36"/>
    <mergeCell ref="I42:J42"/>
    <mergeCell ref="F38:G38"/>
    <mergeCell ref="R13:R14"/>
    <mergeCell ref="R16:R17"/>
    <mergeCell ref="R19:R20"/>
    <mergeCell ref="Q13:Q14"/>
    <mergeCell ref="Q16:Q17"/>
    <mergeCell ref="Q19:Q20"/>
    <mergeCell ref="T48:T49"/>
    <mergeCell ref="R23:R24"/>
    <mergeCell ref="R26:R27"/>
    <mergeCell ref="R29:R30"/>
    <mergeCell ref="R48:R49"/>
    <mergeCell ref="S48:S49"/>
    <mergeCell ref="M32:R33"/>
    <mergeCell ref="Q37:R38"/>
    <mergeCell ref="M40:M41"/>
    <mergeCell ref="Q26:Q27"/>
    <mergeCell ref="Q23:Q24"/>
    <mergeCell ref="Q48:Q49"/>
    <mergeCell ref="M3:N3"/>
    <mergeCell ref="B58:C58"/>
    <mergeCell ref="E58:F58"/>
    <mergeCell ref="M12:M20"/>
    <mergeCell ref="N12:N14"/>
    <mergeCell ref="P13:P14"/>
    <mergeCell ref="N15:N17"/>
    <mergeCell ref="P16:P17"/>
    <mergeCell ref="E59:F59"/>
    <mergeCell ref="B52:D52"/>
    <mergeCell ref="E52:F52"/>
    <mergeCell ref="B53:C53"/>
    <mergeCell ref="B57:D57"/>
    <mergeCell ref="E57:F57"/>
  </mergeCells>
  <conditionalFormatting sqref="J26:J28 M31">
    <cfRule type="cellIs" priority="1" dxfId="0" operator="equal" stopIfTrue="1">
      <formula>$D$23</formula>
    </cfRule>
  </conditionalFormatting>
  <conditionalFormatting sqref="J31:J34">
    <cfRule type="cellIs" priority="2" dxfId="0" operator="equal" stopIfTrue="1">
      <formula>$D$27</formula>
    </cfRule>
  </conditionalFormatting>
  <conditionalFormatting sqref="L15:L17 J7:K9">
    <cfRule type="cellIs" priority="3" dxfId="0" operator="equal" stopIfTrue="1">
      <formula>$D$10</formula>
    </cfRule>
  </conditionalFormatting>
  <conditionalFormatting sqref="L20:L22 J12:K14">
    <cfRule type="cellIs" priority="4" dxfId="0" operator="equal" stopIfTrue="1">
      <formula>$D$6</formula>
    </cfRule>
  </conditionalFormatting>
  <conditionalFormatting sqref="J21:J23">
    <cfRule type="cellIs" priority="5" dxfId="0" operator="equal" stopIfTrue="1">
      <formula>$D$19</formula>
    </cfRule>
  </conditionalFormatting>
  <conditionalFormatting sqref="J16:J19 L24:L26 K16:K18">
    <cfRule type="cellIs" priority="6" dxfId="0" operator="equal" stopIfTrue="1">
      <formula>$D$7</formula>
    </cfRule>
  </conditionalFormatting>
  <conditionalFormatting sqref="J38">
    <cfRule type="expression" priority="7" dxfId="0" stopIfTrue="1">
      <formula>$D$23=25</formula>
    </cfRule>
  </conditionalFormatting>
  <conditionalFormatting sqref="J39">
    <cfRule type="expression" priority="8" dxfId="0" stopIfTrue="1">
      <formula>$D$23=50</formula>
    </cfRule>
  </conditionalFormatting>
  <conditionalFormatting sqref="J40">
    <cfRule type="expression" priority="9" dxfId="0" stopIfTrue="1">
      <formula>$D$23=75</formula>
    </cfRule>
  </conditionalFormatting>
  <conditionalFormatting sqref="C54">
    <cfRule type="expression" priority="10" dxfId="0" stopIfTrue="1">
      <formula>$G$54&gt;0</formula>
    </cfRule>
  </conditionalFormatting>
  <conditionalFormatting sqref="C55">
    <cfRule type="expression" priority="11" dxfId="0" stopIfTrue="1">
      <formula>$G$55&gt;0</formula>
    </cfRule>
  </conditionalFormatting>
  <conditionalFormatting sqref="J43:J44">
    <cfRule type="cellIs" priority="12" dxfId="0" operator="equal" stopIfTrue="1">
      <formula>$D$39</formula>
    </cfRule>
  </conditionalFormatting>
  <conditionalFormatting sqref="C59">
    <cfRule type="expression" priority="13" dxfId="0" stopIfTrue="1">
      <formula>$E$61&gt;0</formula>
    </cfRule>
  </conditionalFormatting>
  <conditionalFormatting sqref="L29:L31 K21:K23">
    <cfRule type="cellIs" priority="14" dxfId="0" operator="equal" stopIfTrue="1">
      <formula>$D$18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7" r:id="rId5"/>
  <headerFooter alignWithMargins="0">
    <oddHeader>&amp;R&amp;F</oddHeader>
  </headerFooter>
  <drawing r:id="rId4"/>
  <legacyDrawing r:id="rId3"/>
  <oleObjects>
    <oleObject progId="Equation.3" shapeId="331213" r:id="rId1"/>
    <oleObject progId="Equation.3" shapeId="33121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9.57421875" style="2" customWidth="1"/>
  </cols>
  <sheetData>
    <row r="1" s="1" customFormat="1" ht="99.75" customHeight="1">
      <c r="A1" s="5"/>
    </row>
    <row r="2" spans="1:15" ht="12.75">
      <c r="A2" s="6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5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5" t="s">
        <v>127</v>
      </c>
      <c r="B5" s="1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5" t="s">
        <v>144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5" t="s">
        <v>128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8.5" customHeight="1">
      <c r="A8" s="5" t="s">
        <v>129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>
      <c r="A9" s="5" t="s">
        <v>130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5" t="s">
        <v>131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5" t="s">
        <v>132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2.75" customHeight="1">
      <c r="A12" s="5" t="s">
        <v>133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5" t="s">
        <v>134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>
      <c r="A14" s="5" t="s">
        <v>135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5" t="s">
        <v>123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7" t="s">
        <v>145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5" t="s">
        <v>136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5" t="s">
        <v>137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5" t="s">
        <v>138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5" t="s">
        <v>139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7" t="s">
        <v>146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5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5" t="s">
        <v>141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5" t="s">
        <v>142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.5" customHeight="1">
      <c r="A26" s="5" t="s">
        <v>143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.5" customHeight="1">
      <c r="A27" s="5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LM</cp:lastModifiedBy>
  <cp:lastPrinted>2008-08-19T17:29:42Z</cp:lastPrinted>
  <dcterms:created xsi:type="dcterms:W3CDTF">2006-04-04T09:19:27Z</dcterms:created>
  <dcterms:modified xsi:type="dcterms:W3CDTF">2014-06-27T07:51:31Z</dcterms:modified>
  <cp:category/>
  <cp:version/>
  <cp:contentType/>
  <cp:contentStatus/>
</cp:coreProperties>
</file>