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976" tabRatio="884" activeTab="0"/>
  </bookViews>
  <sheets>
    <sheet name="Semb.hortícolas" sheetId="1" r:id="rId1"/>
    <sheet name="Metodología" sheetId="2" r:id="rId2"/>
  </sheets>
  <definedNames>
    <definedName name="_xlnm.Print_Area" localSheetId="1">'Metodología'!$A$1:$A$36</definedName>
    <definedName name="_xlnm.Print_Area" localSheetId="0">'Semb.hortícolas'!$A$1:$K$67</definedName>
  </definedNames>
  <calcPr fullCalcOnLoad="1"/>
</workbook>
</file>

<file path=xl/sharedStrings.xml><?xml version="1.0" encoding="utf-8"?>
<sst xmlns="http://schemas.openxmlformats.org/spreadsheetml/2006/main" count="189" uniqueCount="147">
  <si>
    <t>OPERACIÓN:</t>
  </si>
  <si>
    <t>Anchura apero</t>
  </si>
  <si>
    <t xml:space="preserve">APERO: </t>
  </si>
  <si>
    <t>Baja</t>
  </si>
  <si>
    <t>Media</t>
  </si>
  <si>
    <t>m</t>
  </si>
  <si>
    <t>Alta</t>
  </si>
  <si>
    <t>km/h</t>
  </si>
  <si>
    <t>kg</t>
  </si>
  <si>
    <t>Eficiencia de trabajo</t>
  </si>
  <si>
    <t>h/ha</t>
  </si>
  <si>
    <t>Eficiencia</t>
  </si>
  <si>
    <t>ha/h</t>
  </si>
  <si>
    <t>Nivel de carga de trabajo (%)</t>
  </si>
  <si>
    <t>CV</t>
  </si>
  <si>
    <t>%</t>
  </si>
  <si>
    <t>Potencia tractor necesaria</t>
  </si>
  <si>
    <t>Nivel potencia tractor (CV)</t>
  </si>
  <si>
    <t>Mediano</t>
  </si>
  <si>
    <t>Grande</t>
  </si>
  <si>
    <t>Muy grande</t>
  </si>
  <si>
    <t>Consumo de combustible</t>
  </si>
  <si>
    <t>Consumo combustible</t>
  </si>
  <si>
    <t>Consumo de aceite</t>
  </si>
  <si>
    <t>Carga</t>
  </si>
  <si>
    <t>Horas trabajo anuales</t>
  </si>
  <si>
    <t>h/año</t>
  </si>
  <si>
    <t>Precio adquisición</t>
  </si>
  <si>
    <t>€</t>
  </si>
  <si>
    <t>amort. - desgaste</t>
  </si>
  <si>
    <t>h</t>
  </si>
  <si>
    <t>€/h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</si>
  <si>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</si>
  <si>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</si>
  <si>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</si>
  <si>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</si>
  <si>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</si>
  <si>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</si>
  <si>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</si>
  <si>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€/ha</t>
  </si>
  <si>
    <t>Coste total</t>
  </si>
  <si>
    <t>ha/año</t>
  </si>
  <si>
    <t>Tractor auxiliar</t>
  </si>
  <si>
    <t>kW</t>
  </si>
  <si>
    <t>horas</t>
  </si>
  <si>
    <t>€/L</t>
  </si>
  <si>
    <t>€/kW</t>
  </si>
  <si>
    <t>Seguros</t>
  </si>
  <si>
    <t>Resguardo</t>
  </si>
  <si>
    <t>L/h-kW</t>
  </si>
  <si>
    <t>L/h</t>
  </si>
  <si>
    <t>Velocidad de trabajo</t>
  </si>
  <si>
    <t>Potencia de tracción</t>
  </si>
  <si>
    <t>Peso apero (vacío)</t>
  </si>
  <si>
    <t>consumos</t>
  </si>
  <si>
    <t>anchura alta</t>
  </si>
  <si>
    <t>anchura normal</t>
  </si>
  <si>
    <t>RESULTADOS MAPA</t>
  </si>
  <si>
    <t>Siembra</t>
  </si>
  <si>
    <t>Número de cuerpos</t>
  </si>
  <si>
    <t>Separación entre cuerpos</t>
  </si>
  <si>
    <t>ud</t>
  </si>
  <si>
    <t>Nivel de carga del tractor</t>
  </si>
  <si>
    <t>Potencia necesaria</t>
  </si>
  <si>
    <t>Pequeño</t>
  </si>
  <si>
    <t>Bajo</t>
  </si>
  <si>
    <t>Medio</t>
  </si>
  <si>
    <t>Alto</t>
  </si>
  <si>
    <t>COSTES DE UTILIZACIÓN</t>
  </si>
  <si>
    <t>COSTES DE POSESIÓN</t>
  </si>
  <si>
    <t>Coste gasóleo</t>
  </si>
  <si>
    <t>L/ha</t>
  </si>
  <si>
    <t>Coste combustible</t>
  </si>
  <si>
    <t>Capacidad trabajo teórica</t>
  </si>
  <si>
    <t>Capacidad trabajo real</t>
  </si>
  <si>
    <t>ASAE row crop planter prepared seedbed</t>
  </si>
  <si>
    <t>Nº lineas</t>
  </si>
  <si>
    <t>P(kW)</t>
  </si>
  <si>
    <t>Factor (L/h-kW)</t>
  </si>
  <si>
    <t>F(daN)</t>
  </si>
  <si>
    <t>4,5 L/ha</t>
  </si>
  <si>
    <t>6,5 L/ha</t>
  </si>
  <si>
    <t>pot tractor CV</t>
  </si>
  <si>
    <t>nivel carga %</t>
  </si>
  <si>
    <t>pot utilizada</t>
  </si>
  <si>
    <t>v (km/h)</t>
  </si>
  <si>
    <t>Pot. (kW)</t>
  </si>
  <si>
    <t>Anchura (m)</t>
  </si>
  <si>
    <t>Incremento por peso máq.</t>
  </si>
  <si>
    <t>Pot neces (kW/m)</t>
  </si>
  <si>
    <t>Anchura máx</t>
  </si>
  <si>
    <t>Pot. (kW/m)</t>
  </si>
  <si>
    <t>Pot a la barra i/rod+desliz</t>
  </si>
  <si>
    <t>P barra i/rod+desliz</t>
  </si>
  <si>
    <t>Tipo de tractor escogido</t>
  </si>
  <si>
    <t>Potencia tractor escogido</t>
  </si>
  <si>
    <t>Utilización anual</t>
  </si>
  <si>
    <t>€/h s/comb</t>
  </si>
  <si>
    <t>Baja (500 h/año)</t>
  </si>
  <si>
    <t>Alta (1.000 h/año)</t>
  </si>
  <si>
    <t>Utilización apero (h/año)</t>
  </si>
  <si>
    <t>AUXILIAR</t>
  </si>
  <si>
    <t>Hipótesis tractor auxiliar</t>
  </si>
  <si>
    <t>Costes horarios tractor auxiliar  (€/h)</t>
  </si>
  <si>
    <t>Precio adquis.</t>
  </si>
  <si>
    <t>€/h s/comb.</t>
  </si>
  <si>
    <t>Amortización</t>
  </si>
  <si>
    <t>Tasa interés</t>
  </si>
  <si>
    <t>Mant.-Reparac</t>
  </si>
  <si>
    <t>Cons.carga media</t>
  </si>
  <si>
    <t xml:space="preserve"> +combustible</t>
  </si>
  <si>
    <t>TRACTOR + APERO</t>
  </si>
  <si>
    <t>Los datos de partida de esta operación son los siguientes:</t>
  </si>
  <si>
    <t>Las hipótesis establecidas para el cálculo de los costes son las siguientes:</t>
  </si>
  <si>
    <t>Utilización anual apero: En función de las horas de trabajo anuales elegidas y de la capacidad de trabajo se obtiene la superficie anual trabajada por el apero en ha/año.</t>
  </si>
  <si>
    <t>Precio adquisición tractor</t>
  </si>
  <si>
    <t xml:space="preserve"> €/kW de potencia</t>
  </si>
  <si>
    <t>4</t>
  </si>
  <si>
    <t>€/cu.</t>
  </si>
  <si>
    <t>kg/cu.</t>
  </si>
  <si>
    <t>-          Anchura de trabajo del apero: Se genera según los datos escogidos anteriormente.</t>
  </si>
  <si>
    <t>-          Eficiencia de la operación: Baja, media o alta (se recomienda escoger baja para esta operación puesto que es la situación más habitual)</t>
  </si>
  <si>
    <t>-          Nivel de carga del tractor: Bajo, medio o alto (se recomienda poner un nivel medio para esta operación)</t>
  </si>
  <si>
    <t>-          Velocidad de trabajo: Es un valor tomado de las velocidades recomendadas de trabajo.</t>
  </si>
  <si>
    <t>-          Potencia de tracción: Se considera equivalente a la de un cultivador de igual anchura trabajando 15 cm de profundidad.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</si>
  <si>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</si>
  <si>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</si>
  <si>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Horas de trabajo anuales: Se han estimado dos rangos diferentes de utilización del apero al año, baja (100 h/año) y alta (200 h/año)</t>
  </si>
  <si>
    <t>-          Amortización por desgaste: 1.200  h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</si>
  <si>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</si>
  <si>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</si>
  <si>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</si>
  <si>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Mantenimiento y reparaciones: 0,75 €/ha</t>
  </si>
  <si>
    <t>-          Utilización anual tractor auxiliar: Se han estimado dos rangos diferentes de trabajo, 500 y 1.000 h/año.</t>
  </si>
  <si>
    <t>-          Precio de adquisición: Estimado en 3.000 €/cuerpo</t>
  </si>
  <si>
    <t>Potencia tracción = 1/4 Pot. demandada por cultivador de igual anchura a 15 cm de profundidad</t>
  </si>
  <si>
    <t>-          Separación entre cuerpos: se puede elegir entre 0,20, 0,30, 0,40 y 0,50 m</t>
  </si>
  <si>
    <t>-          Peso del apero: Estimado en 50 kg/cuerpo</t>
  </si>
  <si>
    <t>-          Incremento por peso de la máquina: Se considera que, debido al peso de la máquina y por la resistencia a la que se opone el suelo a las botas de siembra y surcadores, la potencia anterior se incrementa en un 10 %.</t>
  </si>
  <si>
    <t>-          Coste de combustible: 1,00 €/L</t>
  </si>
  <si>
    <t>Sembradora hortícolas</t>
  </si>
  <si>
    <t>Siembra de hortícolas</t>
  </si>
  <si>
    <t>-          Número de cuerpos: a escoger entre 2, 4, 6 y 8</t>
  </si>
  <si>
    <t>-          Interés: 5 %</t>
  </si>
  <si>
    <t>cm</t>
  </si>
  <si>
    <t>cuerpos</t>
  </si>
  <si>
    <t>30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</si>
</sst>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22"/>
      <name val="Arial"/>
      <family val="2"/>
    </font>
    <font>
      <b/>
      <sz val="11"/>
      <color indexed="9"/>
      <name val="Arial"/>
      <family val="2"/>
    </font>
    <font>
      <sz val="11"/>
      <color indexed="42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0" fontId="0" fillId="34" borderId="0" xfId="0" applyFill="1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left" wrapText="1"/>
    </xf>
    <xf numFmtId="49" fontId="4" fillId="34" borderId="0" xfId="0" applyNumberFormat="1" applyFont="1" applyFill="1" applyAlignment="1">
      <alignment horizontal="left" wrapText="1"/>
    </xf>
    <xf numFmtId="49" fontId="4" fillId="34" borderId="0" xfId="0" applyNumberFormat="1" applyFont="1" applyFill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 applyProtection="1">
      <alignment/>
      <protection hidden="1"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vertical="top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/>
    </xf>
    <xf numFmtId="1" fontId="6" fillId="33" borderId="11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0" fontId="8" fillId="33" borderId="14" xfId="0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2" fontId="6" fillId="33" borderId="0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3" fillId="0" borderId="15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Alignment="1" applyProtection="1">
      <alignment/>
      <protection locked="0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2" fontId="15" fillId="33" borderId="0" xfId="0" applyNumberFormat="1" applyFont="1" applyFill="1" applyBorder="1" applyAlignment="1" applyProtection="1">
      <alignment horizontal="center"/>
      <protection hidden="1"/>
    </xf>
    <xf numFmtId="0" fontId="14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165" fontId="6" fillId="0" borderId="15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6" fillId="33" borderId="16" xfId="0" applyFont="1" applyFill="1" applyBorder="1" applyAlignment="1" applyProtection="1">
      <alignment horizontal="center"/>
      <protection hidden="1"/>
    </xf>
    <xf numFmtId="0" fontId="8" fillId="33" borderId="17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35" borderId="18" xfId="0" applyFont="1" applyFill="1" applyBorder="1" applyAlignment="1" applyProtection="1">
      <alignment horizontal="center"/>
      <protection hidden="1"/>
    </xf>
    <xf numFmtId="0" fontId="6" fillId="35" borderId="19" xfId="0" applyFont="1" applyFill="1" applyBorder="1" applyAlignment="1">
      <alignment horizontal="center"/>
    </xf>
    <xf numFmtId="165" fontId="7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2" fontId="13" fillId="33" borderId="0" xfId="0" applyNumberFormat="1" applyFont="1" applyFill="1" applyBorder="1" applyAlignment="1" applyProtection="1">
      <alignment horizontal="center"/>
      <protection hidden="1" locked="0"/>
    </xf>
    <xf numFmtId="2" fontId="6" fillId="0" borderId="0" xfId="0" applyNumberFormat="1" applyFont="1" applyBorder="1" applyAlignment="1">
      <alignment horizontal="center"/>
    </xf>
    <xf numFmtId="164" fontId="15" fillId="33" borderId="0" xfId="0" applyNumberFormat="1" applyFont="1" applyFill="1" applyBorder="1" applyAlignment="1" applyProtection="1">
      <alignment horizontal="center"/>
      <protection hidden="1"/>
    </xf>
    <xf numFmtId="3" fontId="7" fillId="0" borderId="0" xfId="0" applyNumberFormat="1" applyFont="1" applyFill="1" applyBorder="1" applyAlignment="1">
      <alignment horizontal="center"/>
    </xf>
    <xf numFmtId="0" fontId="14" fillId="33" borderId="20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left"/>
    </xf>
    <xf numFmtId="164" fontId="15" fillId="33" borderId="16" xfId="0" applyNumberFormat="1" applyFont="1" applyFill="1" applyBorder="1" applyAlignment="1" applyProtection="1">
      <alignment horizontal="center"/>
      <protection hidden="1"/>
    </xf>
    <xf numFmtId="0" fontId="14" fillId="33" borderId="17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8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165" fontId="6" fillId="34" borderId="14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13" fillId="0" borderId="15" xfId="0" applyFont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/>
    </xf>
    <xf numFmtId="3" fontId="13" fillId="0" borderId="15" xfId="0" applyNumberFormat="1" applyFont="1" applyBorder="1" applyAlignment="1" applyProtection="1">
      <alignment horizontal="center"/>
      <protection locked="0"/>
    </xf>
    <xf numFmtId="3" fontId="13" fillId="33" borderId="0" xfId="0" applyNumberFormat="1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>
      <alignment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3" fontId="13" fillId="33" borderId="0" xfId="0" applyNumberFormat="1" applyFont="1" applyFill="1" applyBorder="1" applyAlignment="1" applyProtection="1">
      <alignment horizontal="center"/>
      <protection hidden="1" locked="0"/>
    </xf>
    <xf numFmtId="2" fontId="6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 applyProtection="1">
      <alignment horizontal="center"/>
      <protection hidden="1" locked="0"/>
    </xf>
    <xf numFmtId="3" fontId="6" fillId="34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8" fillId="0" borderId="15" xfId="0" applyNumberFormat="1" applyFont="1" applyBorder="1" applyAlignment="1" applyProtection="1">
      <alignment horizontal="center"/>
      <protection hidden="1"/>
    </xf>
    <xf numFmtId="164" fontId="8" fillId="0" borderId="15" xfId="0" applyNumberFormat="1" applyFont="1" applyBorder="1" applyAlignment="1" applyProtection="1">
      <alignment horizontal="center"/>
      <protection hidden="1"/>
    </xf>
    <xf numFmtId="0" fontId="8" fillId="34" borderId="14" xfId="0" applyFont="1" applyFill="1" applyBorder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2" fontId="13" fillId="33" borderId="21" xfId="0" applyNumberFormat="1" applyFont="1" applyFill="1" applyBorder="1" applyAlignment="1" applyProtection="1">
      <alignment horizontal="center"/>
      <protection hidden="1" locked="0"/>
    </xf>
    <xf numFmtId="0" fontId="8" fillId="33" borderId="21" xfId="0" applyFont="1" applyFill="1" applyBorder="1" applyAlignment="1">
      <alignment horizontal="center"/>
    </xf>
    <xf numFmtId="2" fontId="6" fillId="33" borderId="21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/>
    </xf>
    <xf numFmtId="3" fontId="8" fillId="34" borderId="14" xfId="0" applyNumberFormat="1" applyFont="1" applyFill="1" applyBorder="1" applyAlignment="1">
      <alignment horizontal="center"/>
    </xf>
    <xf numFmtId="1" fontId="8" fillId="34" borderId="14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14" fillId="33" borderId="1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/>
    </xf>
    <xf numFmtId="2" fontId="14" fillId="33" borderId="16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6" fillId="0" borderId="15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 vertical="center"/>
      <protection hidden="1"/>
    </xf>
    <xf numFmtId="2" fontId="8" fillId="0" borderId="15" xfId="0" applyNumberFormat="1" applyFont="1" applyBorder="1" applyAlignment="1" applyProtection="1">
      <alignment horizontal="center"/>
      <protection hidden="1"/>
    </xf>
    <xf numFmtId="2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12" fillId="34" borderId="0" xfId="0" applyFont="1" applyFill="1" applyBorder="1" applyAlignment="1" applyProtection="1">
      <alignment/>
      <protection hidden="1"/>
    </xf>
    <xf numFmtId="0" fontId="16" fillId="0" borderId="15" xfId="0" applyFont="1" applyBorder="1" applyAlignment="1">
      <alignment horizontal="right"/>
    </xf>
    <xf numFmtId="0" fontId="7" fillId="34" borderId="0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>
      <alignment horizontal="right"/>
    </xf>
    <xf numFmtId="2" fontId="15" fillId="34" borderId="0" xfId="0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6" fillId="36" borderId="15" xfId="0" applyFont="1" applyFill="1" applyBorder="1" applyAlignment="1">
      <alignment/>
    </xf>
    <xf numFmtId="4" fontId="6" fillId="0" borderId="15" xfId="0" applyNumberFormat="1" applyFont="1" applyBorder="1" applyAlignment="1" applyProtection="1">
      <alignment horizontal="center" vertical="center"/>
      <protection hidden="1"/>
    </xf>
    <xf numFmtId="0" fontId="6" fillId="34" borderId="20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2" fontId="15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37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/>
      <protection hidden="1"/>
    </xf>
    <xf numFmtId="0" fontId="8" fillId="33" borderId="23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11" fillId="38" borderId="15" xfId="0" applyFont="1" applyFill="1" applyBorder="1" applyAlignment="1">
      <alignment horizontal="center"/>
    </xf>
    <xf numFmtId="2" fontId="11" fillId="38" borderId="1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3.emf" /><Relationship Id="rId3" Type="http://schemas.openxmlformats.org/officeDocument/2006/relationships/image" Target="../media/image22.emf" /><Relationship Id="rId4" Type="http://schemas.openxmlformats.org/officeDocument/2006/relationships/image" Target="../media/image6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Relationship Id="rId7" Type="http://schemas.openxmlformats.org/officeDocument/2006/relationships/image" Target="../media/image5.emf" /><Relationship Id="rId8" Type="http://schemas.openxmlformats.org/officeDocument/2006/relationships/image" Target="../media/image2.emf" /><Relationship Id="rId9" Type="http://schemas.openxmlformats.org/officeDocument/2006/relationships/image" Target="../media/image14.emf" /><Relationship Id="rId10" Type="http://schemas.openxmlformats.org/officeDocument/2006/relationships/image" Target="../media/image16.emf" /><Relationship Id="rId11" Type="http://schemas.openxmlformats.org/officeDocument/2006/relationships/image" Target="../media/image15.emf" /><Relationship Id="rId12" Type="http://schemas.openxmlformats.org/officeDocument/2006/relationships/image" Target="../media/image17.emf" /><Relationship Id="rId13" Type="http://schemas.openxmlformats.org/officeDocument/2006/relationships/image" Target="../media/image18.emf" /><Relationship Id="rId14" Type="http://schemas.openxmlformats.org/officeDocument/2006/relationships/image" Target="../media/image1.emf" /><Relationship Id="rId15" Type="http://schemas.openxmlformats.org/officeDocument/2006/relationships/image" Target="../media/image7.emf" /><Relationship Id="rId16" Type="http://schemas.openxmlformats.org/officeDocument/2006/relationships/image" Target="../media/image11.emf" /><Relationship Id="rId17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8</xdr:row>
      <xdr:rowOff>19050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13</xdr:row>
      <xdr:rowOff>28575</xdr:rowOff>
    </xdr:from>
    <xdr:to>
      <xdr:col>7</xdr:col>
      <xdr:colOff>266700</xdr:colOff>
      <xdr:row>14</xdr:row>
      <xdr:rowOff>9525</xdr:rowOff>
    </xdr:to>
    <xdr:pic>
      <xdr:nvPicPr>
        <xdr:cNvPr id="2" name="Optio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21812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14</xdr:row>
      <xdr:rowOff>38100</xdr:rowOff>
    </xdr:from>
    <xdr:to>
      <xdr:col>7</xdr:col>
      <xdr:colOff>266700</xdr:colOff>
      <xdr:row>15</xdr:row>
      <xdr:rowOff>19050</xdr:rowOff>
    </xdr:to>
    <xdr:pic>
      <xdr:nvPicPr>
        <xdr:cNvPr id="3" name="Optio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23907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15</xdr:row>
      <xdr:rowOff>28575</xdr:rowOff>
    </xdr:from>
    <xdr:to>
      <xdr:col>7</xdr:col>
      <xdr:colOff>266700</xdr:colOff>
      <xdr:row>16</xdr:row>
      <xdr:rowOff>9525</xdr:rowOff>
    </xdr:to>
    <xdr:pic>
      <xdr:nvPicPr>
        <xdr:cNvPr id="4" name="Option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33950" y="25812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18</xdr:row>
      <xdr:rowOff>19050</xdr:rowOff>
    </xdr:from>
    <xdr:to>
      <xdr:col>7</xdr:col>
      <xdr:colOff>257175</xdr:colOff>
      <xdr:row>19</xdr:row>
      <xdr:rowOff>0</xdr:rowOff>
    </xdr:to>
    <xdr:pic>
      <xdr:nvPicPr>
        <xdr:cNvPr id="5" name="Option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31718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19</xdr:row>
      <xdr:rowOff>0</xdr:rowOff>
    </xdr:from>
    <xdr:to>
      <xdr:col>7</xdr:col>
      <xdr:colOff>257175</xdr:colOff>
      <xdr:row>19</xdr:row>
      <xdr:rowOff>142875</xdr:rowOff>
    </xdr:to>
    <xdr:pic>
      <xdr:nvPicPr>
        <xdr:cNvPr id="6" name="Option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24425" y="33528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20</xdr:row>
      <xdr:rowOff>9525</xdr:rowOff>
    </xdr:from>
    <xdr:to>
      <xdr:col>7</xdr:col>
      <xdr:colOff>247650</xdr:colOff>
      <xdr:row>20</xdr:row>
      <xdr:rowOff>152400</xdr:rowOff>
    </xdr:to>
    <xdr:pic>
      <xdr:nvPicPr>
        <xdr:cNvPr id="7" name="Option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14900" y="3562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1666875</xdr:colOff>
      <xdr:row>12</xdr:row>
      <xdr:rowOff>76200</xdr:rowOff>
    </xdr:from>
    <xdr:to>
      <xdr:col>3</xdr:col>
      <xdr:colOff>47625</xdr:colOff>
      <xdr:row>13</xdr:row>
      <xdr:rowOff>47625</xdr:rowOff>
    </xdr:to>
    <xdr:pic>
      <xdr:nvPicPr>
        <xdr:cNvPr id="8" name="Combo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19325" y="1962150"/>
          <a:ext cx="381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23</xdr:row>
      <xdr:rowOff>28575</xdr:rowOff>
    </xdr:from>
    <xdr:to>
      <xdr:col>7</xdr:col>
      <xdr:colOff>247650</xdr:colOff>
      <xdr:row>24</xdr:row>
      <xdr:rowOff>9525</xdr:rowOff>
    </xdr:to>
    <xdr:pic>
      <xdr:nvPicPr>
        <xdr:cNvPr id="9" name="OptionButton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14900" y="41814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24</xdr:row>
      <xdr:rowOff>28575</xdr:rowOff>
    </xdr:from>
    <xdr:to>
      <xdr:col>7</xdr:col>
      <xdr:colOff>247650</xdr:colOff>
      <xdr:row>25</xdr:row>
      <xdr:rowOff>9525</xdr:rowOff>
    </xdr:to>
    <xdr:pic>
      <xdr:nvPicPr>
        <xdr:cNvPr id="10" name="OptionButton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14900" y="43815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25</xdr:row>
      <xdr:rowOff>28575</xdr:rowOff>
    </xdr:from>
    <xdr:to>
      <xdr:col>7</xdr:col>
      <xdr:colOff>247650</xdr:colOff>
      <xdr:row>26</xdr:row>
      <xdr:rowOff>9525</xdr:rowOff>
    </xdr:to>
    <xdr:pic>
      <xdr:nvPicPr>
        <xdr:cNvPr id="11" name="OptionButton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14900" y="45815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26</xdr:row>
      <xdr:rowOff>28575</xdr:rowOff>
    </xdr:from>
    <xdr:to>
      <xdr:col>7</xdr:col>
      <xdr:colOff>247650</xdr:colOff>
      <xdr:row>27</xdr:row>
      <xdr:rowOff>9525</xdr:rowOff>
    </xdr:to>
    <xdr:pic>
      <xdr:nvPicPr>
        <xdr:cNvPr id="12" name="OptionButton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14900" y="47815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60</xdr:row>
      <xdr:rowOff>28575</xdr:rowOff>
    </xdr:from>
    <xdr:to>
      <xdr:col>1</xdr:col>
      <xdr:colOff>257175</xdr:colOff>
      <xdr:row>61</xdr:row>
      <xdr:rowOff>0</xdr:rowOff>
    </xdr:to>
    <xdr:pic>
      <xdr:nvPicPr>
        <xdr:cNvPr id="13" name="OptionButton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115824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61</xdr:row>
      <xdr:rowOff>28575</xdr:rowOff>
    </xdr:from>
    <xdr:to>
      <xdr:col>1</xdr:col>
      <xdr:colOff>257175</xdr:colOff>
      <xdr:row>62</xdr:row>
      <xdr:rowOff>9525</xdr:rowOff>
    </xdr:to>
    <xdr:pic>
      <xdr:nvPicPr>
        <xdr:cNvPr id="14" name="Option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4325" y="117824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45</xdr:row>
      <xdr:rowOff>19050</xdr:rowOff>
    </xdr:from>
    <xdr:to>
      <xdr:col>7</xdr:col>
      <xdr:colOff>238125</xdr:colOff>
      <xdr:row>46</xdr:row>
      <xdr:rowOff>9525</xdr:rowOff>
    </xdr:to>
    <xdr:pic>
      <xdr:nvPicPr>
        <xdr:cNvPr id="15" name="Option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05375" y="85725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46</xdr:row>
      <xdr:rowOff>38100</xdr:rowOff>
    </xdr:from>
    <xdr:to>
      <xdr:col>7</xdr:col>
      <xdr:colOff>238125</xdr:colOff>
      <xdr:row>47</xdr:row>
      <xdr:rowOff>9525</xdr:rowOff>
    </xdr:to>
    <xdr:pic>
      <xdr:nvPicPr>
        <xdr:cNvPr id="16" name="Option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05375" y="87915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1647825</xdr:colOff>
      <xdr:row>13</xdr:row>
      <xdr:rowOff>9525</xdr:rowOff>
    </xdr:from>
    <xdr:to>
      <xdr:col>3</xdr:col>
      <xdr:colOff>123825</xdr:colOff>
      <xdr:row>14</xdr:row>
      <xdr:rowOff>47625</xdr:rowOff>
    </xdr:to>
    <xdr:pic>
      <xdr:nvPicPr>
        <xdr:cNvPr id="17" name="ComboBox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00275" y="2162175"/>
          <a:ext cx="476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6</xdr:row>
      <xdr:rowOff>142875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53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9:AG99"/>
  <sheetViews>
    <sheetView showZeros="0" tabSelected="1" zoomScalePageLayoutView="0" workbookViewId="0" topLeftCell="A1">
      <selection activeCell="G13" sqref="G13"/>
    </sheetView>
  </sheetViews>
  <sheetFormatPr defaultColWidth="11.421875" defaultRowHeight="12.75"/>
  <cols>
    <col min="1" max="1" width="2.8515625" style="9" customWidth="1"/>
    <col min="2" max="2" width="5.421875" style="9" customWidth="1"/>
    <col min="3" max="3" width="30.00390625" style="9" customWidth="1"/>
    <col min="4" max="4" width="13.7109375" style="10" customWidth="1"/>
    <col min="5" max="5" width="6.57421875" style="10" customWidth="1"/>
    <col min="6" max="6" width="7.00390625" style="9" customWidth="1"/>
    <col min="7" max="7" width="6.57421875" style="11" customWidth="1"/>
    <col min="8" max="8" width="4.140625" style="9" customWidth="1"/>
    <col min="9" max="9" width="13.00390625" style="9" customWidth="1"/>
    <col min="10" max="10" width="19.28125" style="9" customWidth="1"/>
    <col min="11" max="12" width="5.7109375" style="9" customWidth="1"/>
    <col min="13" max="13" width="15.7109375" style="9" customWidth="1"/>
    <col min="14" max="14" width="10.28125" style="9" customWidth="1"/>
    <col min="15" max="15" width="8.140625" style="9" customWidth="1"/>
    <col min="16" max="16" width="10.421875" style="9" customWidth="1"/>
    <col min="17" max="17" width="7.140625" style="9" customWidth="1"/>
    <col min="18" max="18" width="10.421875" style="9" customWidth="1"/>
    <col min="19" max="19" width="9.57421875" style="9" customWidth="1"/>
    <col min="20" max="20" width="7.140625" style="9" customWidth="1"/>
    <col min="21" max="28" width="6.57421875" style="9" customWidth="1"/>
    <col min="29" max="29" width="6.57421875" style="9" hidden="1" customWidth="1"/>
    <col min="30" max="30" width="0" style="12" hidden="1" customWidth="1"/>
    <col min="31" max="33" width="11.57421875" style="9" hidden="1" customWidth="1"/>
    <col min="34" max="16384" width="11.57421875" style="9" customWidth="1"/>
  </cols>
  <sheetData>
    <row r="1" ht="14.25"/>
    <row r="2" ht="11.25" customHeight="1"/>
    <row r="3" ht="12" customHeight="1"/>
    <row r="4" ht="10.5" customHeight="1"/>
    <row r="5" ht="12" customHeight="1"/>
    <row r="6" ht="12" customHeight="1"/>
    <row r="7" ht="9.75" customHeight="1"/>
    <row r="8" ht="11.25" customHeight="1"/>
    <row r="9" spans="1:25" ht="14.25">
      <c r="A9" s="13"/>
      <c r="B9" s="14"/>
      <c r="C9" s="14"/>
      <c r="D9" s="15"/>
      <c r="E9" s="15"/>
      <c r="F9" s="14"/>
      <c r="G9" s="14"/>
      <c r="H9" s="16"/>
      <c r="I9" s="14"/>
      <c r="J9" s="14"/>
      <c r="K9" s="17"/>
      <c r="L9" s="18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2.75" customHeight="1">
      <c r="A10" s="20"/>
      <c r="B10" s="21"/>
      <c r="C10" s="22" t="s">
        <v>0</v>
      </c>
      <c r="D10" s="23" t="s">
        <v>58</v>
      </c>
      <c r="E10" s="24"/>
      <c r="F10" s="25"/>
      <c r="G10" s="25"/>
      <c r="H10" s="26"/>
      <c r="I10" s="21"/>
      <c r="J10" s="21"/>
      <c r="K10" s="27"/>
      <c r="L10" s="18"/>
      <c r="M10" s="188" t="s">
        <v>101</v>
      </c>
      <c r="N10" s="18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2.75" customHeight="1">
      <c r="A11" s="20"/>
      <c r="B11" s="21"/>
      <c r="C11" s="22" t="s">
        <v>2</v>
      </c>
      <c r="D11" s="29" t="s">
        <v>140</v>
      </c>
      <c r="E11" s="30"/>
      <c r="F11" s="30"/>
      <c r="G11" s="31"/>
      <c r="H11" s="21"/>
      <c r="I11" s="21"/>
      <c r="J11" s="21"/>
      <c r="K11" s="32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5.75" customHeight="1">
      <c r="A12" s="20"/>
      <c r="B12" s="21"/>
      <c r="C12" s="21"/>
      <c r="D12" s="30"/>
      <c r="E12" s="30"/>
      <c r="F12" s="30"/>
      <c r="G12" s="31"/>
      <c r="H12" s="21"/>
      <c r="I12" s="21"/>
      <c r="J12" s="21"/>
      <c r="K12" s="32"/>
      <c r="L12" s="1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21" customHeight="1">
      <c r="A13" s="20"/>
      <c r="B13" s="183" t="s">
        <v>59</v>
      </c>
      <c r="C13" s="184"/>
      <c r="D13" s="33"/>
      <c r="E13" s="34" t="s">
        <v>61</v>
      </c>
      <c r="F13" s="21"/>
      <c r="G13" s="21"/>
      <c r="H13" s="26"/>
      <c r="I13" s="181" t="s">
        <v>9</v>
      </c>
      <c r="J13" s="181"/>
      <c r="K13" s="36"/>
      <c r="L13" s="18"/>
      <c r="M13" s="164" t="s">
        <v>135</v>
      </c>
      <c r="N13" s="164"/>
      <c r="O13" s="164"/>
      <c r="P13" s="37"/>
      <c r="Q13" s="37"/>
      <c r="R13" s="19"/>
      <c r="S13" s="19"/>
      <c r="T13" s="19"/>
      <c r="U13" s="19"/>
      <c r="V13" s="19"/>
      <c r="W13" s="19"/>
      <c r="X13" s="19"/>
      <c r="Y13" s="19"/>
    </row>
    <row r="14" spans="1:25" ht="15.75" customHeight="1">
      <c r="A14" s="20"/>
      <c r="B14" s="173" t="s">
        <v>60</v>
      </c>
      <c r="C14" s="174"/>
      <c r="D14" s="38" t="str">
        <f>+AG23</f>
        <v>30</v>
      </c>
      <c r="E14" s="39" t="s">
        <v>144</v>
      </c>
      <c r="F14" s="40"/>
      <c r="G14" s="40"/>
      <c r="H14" s="41"/>
      <c r="I14" s="42" t="s">
        <v>3</v>
      </c>
      <c r="J14" s="35">
        <v>0.55</v>
      </c>
      <c r="K14" s="36"/>
      <c r="L14" s="18"/>
      <c r="M14" s="164"/>
      <c r="N14" s="164"/>
      <c r="O14" s="164"/>
      <c r="P14" s="37"/>
      <c r="Q14" s="37"/>
      <c r="R14" s="19"/>
      <c r="S14" s="19"/>
      <c r="T14" s="19"/>
      <c r="U14" s="19"/>
      <c r="V14" s="19"/>
      <c r="W14" s="19"/>
      <c r="X14" s="19"/>
      <c r="Y14" s="19"/>
    </row>
    <row r="15" spans="1:30" ht="15.75" customHeight="1">
      <c r="A15" s="20"/>
      <c r="B15" s="173" t="s">
        <v>1</v>
      </c>
      <c r="C15" s="174"/>
      <c r="D15" s="43">
        <f>(AG17)*D14/100</f>
        <v>1.2</v>
      </c>
      <c r="E15" s="39" t="s">
        <v>5</v>
      </c>
      <c r="F15" s="40"/>
      <c r="G15" s="40"/>
      <c r="H15" s="41"/>
      <c r="I15" s="42" t="s">
        <v>4</v>
      </c>
      <c r="J15" s="35">
        <v>0.65</v>
      </c>
      <c r="K15" s="36"/>
      <c r="L15" s="18"/>
      <c r="M15" s="164"/>
      <c r="N15" s="164"/>
      <c r="O15" s="164"/>
      <c r="P15" s="37"/>
      <c r="Q15" s="37"/>
      <c r="R15" s="19"/>
      <c r="S15" s="19"/>
      <c r="T15" s="19"/>
      <c r="U15" s="19"/>
      <c r="V15" s="19"/>
      <c r="W15" s="19"/>
      <c r="X15" s="19"/>
      <c r="Y15" s="19"/>
      <c r="AD15" s="12" t="b">
        <v>1</v>
      </c>
    </row>
    <row r="16" spans="1:33" ht="15.75" customHeight="1">
      <c r="A16" s="20"/>
      <c r="B16" s="173" t="s">
        <v>53</v>
      </c>
      <c r="C16" s="174"/>
      <c r="D16" s="44">
        <f>+D17*AG17</f>
        <v>200</v>
      </c>
      <c r="E16" s="39" t="s">
        <v>8</v>
      </c>
      <c r="F16" s="45"/>
      <c r="G16" s="46"/>
      <c r="H16" s="41"/>
      <c r="I16" s="42" t="s">
        <v>6</v>
      </c>
      <c r="J16" s="35">
        <v>0.75</v>
      </c>
      <c r="K16" s="36"/>
      <c r="L16" s="18"/>
      <c r="M16" s="47" t="s">
        <v>91</v>
      </c>
      <c r="N16" s="19" t="s">
        <v>87</v>
      </c>
      <c r="O16" s="47" t="s">
        <v>86</v>
      </c>
      <c r="P16" s="37"/>
      <c r="Q16" s="37"/>
      <c r="R16" s="37"/>
      <c r="S16" s="19"/>
      <c r="T16" s="19"/>
      <c r="U16" s="19"/>
      <c r="V16" s="19"/>
      <c r="W16" s="19"/>
      <c r="X16" s="19"/>
      <c r="Y16" s="19"/>
      <c r="AD16" s="12" t="b">
        <v>0</v>
      </c>
      <c r="AF16" s="10" t="s">
        <v>145</v>
      </c>
      <c r="AG16" s="48"/>
    </row>
    <row r="17" spans="1:33" ht="15.75" customHeight="1">
      <c r="A17" s="20"/>
      <c r="B17" s="49"/>
      <c r="C17" s="50"/>
      <c r="D17" s="51">
        <v>50</v>
      </c>
      <c r="E17" s="52" t="s">
        <v>119</v>
      </c>
      <c r="F17" s="40"/>
      <c r="G17" s="40"/>
      <c r="H17" s="31"/>
      <c r="I17" s="31"/>
      <c r="J17" s="31"/>
      <c r="K17" s="27"/>
      <c r="L17" s="18"/>
      <c r="M17" s="47">
        <v>1.5</v>
      </c>
      <c r="N17" s="53">
        <v>2</v>
      </c>
      <c r="O17" s="54">
        <f>14/3*N17</f>
        <v>9.333333333333334</v>
      </c>
      <c r="P17" s="37"/>
      <c r="Q17" s="37"/>
      <c r="R17" s="37"/>
      <c r="S17" s="19"/>
      <c r="T17" s="19"/>
      <c r="U17" s="19"/>
      <c r="V17" s="19"/>
      <c r="W17" s="19"/>
      <c r="X17" s="19"/>
      <c r="Y17" s="19"/>
      <c r="AD17" s="12" t="b">
        <v>0</v>
      </c>
      <c r="AF17" s="55">
        <v>2</v>
      </c>
      <c r="AG17" s="55" t="s">
        <v>117</v>
      </c>
    </row>
    <row r="18" spans="1:33" ht="15.75" customHeight="1">
      <c r="A18" s="20"/>
      <c r="B18" s="173" t="s">
        <v>51</v>
      </c>
      <c r="C18" s="174"/>
      <c r="D18" s="56">
        <v>4</v>
      </c>
      <c r="E18" s="39" t="s">
        <v>7</v>
      </c>
      <c r="F18" s="21"/>
      <c r="G18" s="21"/>
      <c r="H18" s="26"/>
      <c r="I18" s="181" t="s">
        <v>13</v>
      </c>
      <c r="J18" s="181"/>
      <c r="K18" s="36"/>
      <c r="L18" s="18"/>
      <c r="M18" s="47">
        <v>1.5</v>
      </c>
      <c r="N18" s="53">
        <v>3</v>
      </c>
      <c r="O18" s="57">
        <f>14/3*N18</f>
        <v>14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AF18" s="55">
        <v>4</v>
      </c>
      <c r="AG18" s="55"/>
    </row>
    <row r="19" spans="1:33" ht="15.75" customHeight="1">
      <c r="A19" s="20"/>
      <c r="B19" s="173" t="s">
        <v>52</v>
      </c>
      <c r="C19" s="174"/>
      <c r="D19" s="38">
        <f>IF(D$15=2,O17,IF(D$15=3,O18,IF(D$15=5,O19,O20)))</f>
        <v>28</v>
      </c>
      <c r="E19" s="39" t="s">
        <v>43</v>
      </c>
      <c r="F19" s="21"/>
      <c r="G19" s="21"/>
      <c r="H19" s="41"/>
      <c r="I19" s="42" t="s">
        <v>65</v>
      </c>
      <c r="J19" s="35">
        <v>25</v>
      </c>
      <c r="K19" s="36"/>
      <c r="L19" s="18"/>
      <c r="M19" s="47">
        <v>1.5</v>
      </c>
      <c r="N19" s="57">
        <v>5</v>
      </c>
      <c r="O19" s="54">
        <f>14/3*N19</f>
        <v>23.333333333333336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AD19" s="12" t="b">
        <v>0</v>
      </c>
      <c r="AF19" s="55">
        <v>6</v>
      </c>
      <c r="AG19" s="55"/>
    </row>
    <row r="20" spans="1:33" ht="15.75" customHeight="1">
      <c r="A20" s="20"/>
      <c r="B20" s="173" t="s">
        <v>88</v>
      </c>
      <c r="C20" s="174"/>
      <c r="D20" s="38">
        <v>10</v>
      </c>
      <c r="E20" s="39" t="s">
        <v>15</v>
      </c>
      <c r="F20" s="21"/>
      <c r="G20" s="21"/>
      <c r="H20" s="41"/>
      <c r="I20" s="42" t="s">
        <v>66</v>
      </c>
      <c r="J20" s="35">
        <v>50</v>
      </c>
      <c r="K20" s="36"/>
      <c r="L20" s="18"/>
      <c r="M20" s="47">
        <v>1.5</v>
      </c>
      <c r="N20" s="57">
        <v>6</v>
      </c>
      <c r="O20" s="57">
        <f>14/3*N20</f>
        <v>28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AD20" s="12" t="b">
        <v>1</v>
      </c>
      <c r="AF20" s="55">
        <v>8</v>
      </c>
      <c r="AG20" s="55"/>
    </row>
    <row r="21" spans="1:30" ht="15.75" customHeight="1">
      <c r="A21" s="20"/>
      <c r="B21" s="173" t="s">
        <v>63</v>
      </c>
      <c r="C21" s="174"/>
      <c r="D21" s="38">
        <f>D19+D20/100*D19</f>
        <v>30.8</v>
      </c>
      <c r="E21" s="39" t="s">
        <v>43</v>
      </c>
      <c r="F21" s="21"/>
      <c r="G21" s="21"/>
      <c r="H21" s="41"/>
      <c r="I21" s="42" t="s">
        <v>67</v>
      </c>
      <c r="J21" s="35">
        <v>75</v>
      </c>
      <c r="K21" s="36"/>
      <c r="L21" s="5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AD21" s="12" t="b">
        <v>0</v>
      </c>
    </row>
    <row r="22" spans="1:32" ht="15.75" customHeight="1">
      <c r="A22" s="20"/>
      <c r="B22" s="49"/>
      <c r="C22" s="50"/>
      <c r="D22" s="38">
        <f>D21*1.36</f>
        <v>41.888000000000005</v>
      </c>
      <c r="E22" s="39" t="s">
        <v>14</v>
      </c>
      <c r="F22" s="21"/>
      <c r="G22" s="21"/>
      <c r="H22" s="21"/>
      <c r="I22" s="21"/>
      <c r="J22" s="21"/>
      <c r="K22" s="36"/>
      <c r="L22" s="5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AF22" s="10" t="s">
        <v>144</v>
      </c>
    </row>
    <row r="23" spans="1:33" ht="15.75" customHeight="1">
      <c r="A23" s="20"/>
      <c r="B23" s="173" t="s">
        <v>92</v>
      </c>
      <c r="C23" s="174"/>
      <c r="D23" s="38">
        <f>D22/0.75</f>
        <v>55.850666666666676</v>
      </c>
      <c r="E23" s="39" t="s">
        <v>14</v>
      </c>
      <c r="F23" s="21"/>
      <c r="G23" s="21"/>
      <c r="H23" s="26"/>
      <c r="I23" s="181" t="s">
        <v>17</v>
      </c>
      <c r="J23" s="181"/>
      <c r="K23" s="36"/>
      <c r="L23" s="58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AF23" s="59">
        <v>20</v>
      </c>
      <c r="AG23" s="9" t="s">
        <v>146</v>
      </c>
    </row>
    <row r="24" spans="1:32" ht="15.75" customHeight="1">
      <c r="A24" s="20"/>
      <c r="B24" s="49"/>
      <c r="C24" s="50"/>
      <c r="D24" s="38"/>
      <c r="E24" s="39"/>
      <c r="F24" s="21"/>
      <c r="G24" s="21"/>
      <c r="H24" s="41"/>
      <c r="I24" s="60" t="s">
        <v>64</v>
      </c>
      <c r="J24" s="61">
        <v>90</v>
      </c>
      <c r="K24" s="36"/>
      <c r="L24" s="58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AD24" s="12" t="b">
        <v>1</v>
      </c>
      <c r="AF24" s="59">
        <v>30</v>
      </c>
    </row>
    <row r="25" spans="1:32" ht="15.75" customHeight="1">
      <c r="A25" s="20"/>
      <c r="B25" s="173" t="s">
        <v>73</v>
      </c>
      <c r="C25" s="174"/>
      <c r="D25" s="62">
        <f>10/(D18*D15)</f>
        <v>2.0833333333333335</v>
      </c>
      <c r="E25" s="39" t="s">
        <v>10</v>
      </c>
      <c r="F25" s="21"/>
      <c r="G25" s="21"/>
      <c r="H25" s="41"/>
      <c r="I25" s="42" t="s">
        <v>18</v>
      </c>
      <c r="J25" s="35">
        <v>120</v>
      </c>
      <c r="K25" s="36"/>
      <c r="L25" s="18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AD25" s="12" t="b">
        <v>0</v>
      </c>
      <c r="AF25" s="59">
        <v>40</v>
      </c>
    </row>
    <row r="26" spans="1:32" ht="15.75" customHeight="1">
      <c r="A26" s="20"/>
      <c r="B26" s="173" t="s">
        <v>11</v>
      </c>
      <c r="C26" s="174"/>
      <c r="D26" s="56">
        <f>IF(AD15=TRUE,J14,IF(AD16=TRUE,J15,IF(AD17=TRUE,J16)))</f>
        <v>0.55</v>
      </c>
      <c r="E26" s="63"/>
      <c r="F26" s="21"/>
      <c r="G26" s="21"/>
      <c r="H26" s="41"/>
      <c r="I26" s="42" t="s">
        <v>19</v>
      </c>
      <c r="J26" s="35">
        <v>150</v>
      </c>
      <c r="K26" s="27"/>
      <c r="L26" s="5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AD26" s="12" t="b">
        <v>0</v>
      </c>
      <c r="AF26" s="59">
        <v>50</v>
      </c>
    </row>
    <row r="27" spans="1:30" ht="15.75" customHeight="1">
      <c r="A27" s="20"/>
      <c r="B27" s="185" t="s">
        <v>74</v>
      </c>
      <c r="C27" s="186"/>
      <c r="D27" s="66">
        <f>D25/D26</f>
        <v>3.7878787878787876</v>
      </c>
      <c r="E27" s="67" t="s">
        <v>10</v>
      </c>
      <c r="F27" s="21"/>
      <c r="G27" s="21"/>
      <c r="H27" s="41"/>
      <c r="I27" s="42" t="s">
        <v>20</v>
      </c>
      <c r="J27" s="35">
        <v>180</v>
      </c>
      <c r="K27" s="36"/>
      <c r="L27" s="5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8"/>
      <c r="AA27" s="18"/>
      <c r="AB27" s="18"/>
      <c r="AC27" s="18"/>
      <c r="AD27" s="12" t="b">
        <v>0</v>
      </c>
    </row>
    <row r="28" spans="1:29" ht="15.75" customHeight="1">
      <c r="A28" s="20"/>
      <c r="B28" s="68"/>
      <c r="C28" s="69"/>
      <c r="D28" s="66">
        <f>1/D27</f>
        <v>0.264</v>
      </c>
      <c r="E28" s="67" t="s">
        <v>12</v>
      </c>
      <c r="F28" s="21"/>
      <c r="G28" s="21"/>
      <c r="H28" s="21"/>
      <c r="I28" s="21"/>
      <c r="J28" s="21"/>
      <c r="K28" s="36"/>
      <c r="L28" s="5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8"/>
      <c r="AA28" s="18"/>
      <c r="AB28" s="18"/>
      <c r="AC28" s="18"/>
    </row>
    <row r="29" spans="1:29" ht="15.75" customHeight="1">
      <c r="A29" s="20"/>
      <c r="B29" s="68"/>
      <c r="C29" s="70"/>
      <c r="D29" s="56"/>
      <c r="E29" s="63"/>
      <c r="F29" s="21"/>
      <c r="G29" s="21"/>
      <c r="H29" s="21"/>
      <c r="I29" s="181" t="s">
        <v>22</v>
      </c>
      <c r="J29" s="181"/>
      <c r="K29" s="36"/>
      <c r="L29" s="58"/>
      <c r="M29" s="187" t="s">
        <v>75</v>
      </c>
      <c r="N29" s="187"/>
      <c r="O29" s="47" t="s">
        <v>76</v>
      </c>
      <c r="P29" s="47" t="s">
        <v>79</v>
      </c>
      <c r="Q29" s="47" t="s">
        <v>85</v>
      </c>
      <c r="R29" s="47" t="s">
        <v>77</v>
      </c>
      <c r="S29" s="19"/>
      <c r="T29" s="19"/>
      <c r="U29" s="19"/>
      <c r="V29" s="37"/>
      <c r="W29" s="37"/>
      <c r="X29" s="37"/>
      <c r="Y29" s="37"/>
      <c r="Z29" s="71"/>
      <c r="AA29" s="71"/>
      <c r="AB29" s="71"/>
      <c r="AC29" s="71"/>
    </row>
    <row r="30" spans="1:29" ht="15.75" customHeight="1">
      <c r="A30" s="20"/>
      <c r="B30" s="173" t="s">
        <v>62</v>
      </c>
      <c r="C30" s="174"/>
      <c r="D30" s="56">
        <f>IF(AD19=TRUE,J19,IF(AD20=TRUE,J20,IF(AD21=TRUE,J21)))</f>
        <v>50</v>
      </c>
      <c r="E30" s="39" t="s">
        <v>15</v>
      </c>
      <c r="F30" s="21"/>
      <c r="G30" s="21"/>
      <c r="H30" s="21"/>
      <c r="I30" s="42" t="s">
        <v>24</v>
      </c>
      <c r="J30" s="61" t="s">
        <v>78</v>
      </c>
      <c r="K30" s="36"/>
      <c r="L30" s="58"/>
      <c r="M30" s="187"/>
      <c r="N30" s="187"/>
      <c r="O30" s="47" t="str">
        <f>AG17</f>
        <v>4</v>
      </c>
      <c r="P30" s="53">
        <f>O30*900/10</f>
        <v>360</v>
      </c>
      <c r="Q30" s="53">
        <f>D$18</f>
        <v>4</v>
      </c>
      <c r="R30" s="53">
        <f>P30*$D$18*10/3600</f>
        <v>4</v>
      </c>
      <c r="S30" s="19"/>
      <c r="T30" s="19"/>
      <c r="U30" s="19"/>
      <c r="V30" s="37"/>
      <c r="W30" s="37"/>
      <c r="X30" s="37"/>
      <c r="Y30" s="37"/>
      <c r="Z30" s="71"/>
      <c r="AA30" s="71"/>
      <c r="AB30" s="71"/>
      <c r="AC30" s="71"/>
    </row>
    <row r="31" spans="1:29" ht="15.75" customHeight="1">
      <c r="A31" s="20"/>
      <c r="B31" s="173" t="s">
        <v>16</v>
      </c>
      <c r="C31" s="174"/>
      <c r="D31" s="38">
        <f>D23*100/D30</f>
        <v>111.70133333333335</v>
      </c>
      <c r="E31" s="39" t="s">
        <v>14</v>
      </c>
      <c r="F31" s="21"/>
      <c r="G31" s="21"/>
      <c r="H31" s="21"/>
      <c r="I31" s="42" t="s">
        <v>3</v>
      </c>
      <c r="J31" s="72">
        <v>0.1</v>
      </c>
      <c r="K31" s="27"/>
      <c r="L31" s="58"/>
      <c r="M31" s="73"/>
      <c r="N31" s="74"/>
      <c r="O31" s="47"/>
      <c r="P31" s="47"/>
      <c r="Q31" s="19"/>
      <c r="R31" s="19"/>
      <c r="S31" s="19"/>
      <c r="T31" s="19"/>
      <c r="U31" s="19"/>
      <c r="V31" s="37"/>
      <c r="W31" s="37"/>
      <c r="X31" s="37"/>
      <c r="Y31" s="37"/>
      <c r="Z31" s="71"/>
      <c r="AA31" s="71"/>
      <c r="AB31" s="71"/>
      <c r="AC31" s="71"/>
    </row>
    <row r="32" spans="1:29" ht="15.75" customHeight="1">
      <c r="A32" s="20"/>
      <c r="B32" s="49"/>
      <c r="C32" s="50"/>
      <c r="D32" s="56"/>
      <c r="E32" s="63"/>
      <c r="F32" s="21"/>
      <c r="G32" s="21"/>
      <c r="H32" s="21"/>
      <c r="I32" s="42" t="s">
        <v>4</v>
      </c>
      <c r="J32" s="72">
        <v>0.15</v>
      </c>
      <c r="K32" s="36"/>
      <c r="L32" s="58"/>
      <c r="M32" s="19"/>
      <c r="N32" s="47"/>
      <c r="O32" s="19"/>
      <c r="P32" s="19"/>
      <c r="Q32" s="19"/>
      <c r="R32" s="19"/>
      <c r="S32" s="19"/>
      <c r="T32" s="19"/>
      <c r="U32" s="19"/>
      <c r="V32" s="37"/>
      <c r="W32" s="37"/>
      <c r="X32" s="37"/>
      <c r="Y32" s="37"/>
      <c r="Z32" s="71"/>
      <c r="AA32" s="71"/>
      <c r="AB32" s="71"/>
      <c r="AC32" s="71"/>
    </row>
    <row r="33" spans="1:25" ht="15.75" customHeight="1">
      <c r="A33" s="20"/>
      <c r="B33" s="173" t="s">
        <v>94</v>
      </c>
      <c r="C33" s="174"/>
      <c r="D33" s="56" t="str">
        <f>IF(AD24=TRUE,"Pequeño",IF(AD25=TRUE,"Mediano",IF(AD26=TRUE,"Grande",IF(AD27=TRUE,"Muy Grande",))))</f>
        <v>Pequeño</v>
      </c>
      <c r="E33" s="39"/>
      <c r="F33" s="21"/>
      <c r="G33" s="21"/>
      <c r="H33" s="21"/>
      <c r="I33" s="42" t="s">
        <v>6</v>
      </c>
      <c r="J33" s="72">
        <v>0.207</v>
      </c>
      <c r="K33" s="36"/>
      <c r="L33" s="58"/>
      <c r="M33" s="176" t="s">
        <v>57</v>
      </c>
      <c r="N33" s="176"/>
      <c r="O33" s="47"/>
      <c r="P33" s="47"/>
      <c r="Q33" s="37"/>
      <c r="R33" s="37"/>
      <c r="S33" s="37"/>
      <c r="T33" s="19"/>
      <c r="U33" s="19"/>
      <c r="V33" s="37"/>
      <c r="W33" s="37"/>
      <c r="X33" s="19"/>
      <c r="Y33" s="19"/>
    </row>
    <row r="34" spans="1:25" ht="15.75" customHeight="1">
      <c r="A34" s="20"/>
      <c r="B34" s="179" t="s">
        <v>95</v>
      </c>
      <c r="C34" s="180"/>
      <c r="D34" s="75">
        <f>IF(AD24=TRUE,J24,IF(AD25=TRUE,J25,IF(AD26=TRUE,J26,IF(AD27=TRUE,J27,""))))</f>
        <v>90</v>
      </c>
      <c r="E34" s="76" t="s">
        <v>14</v>
      </c>
      <c r="F34" s="21"/>
      <c r="G34" s="21"/>
      <c r="H34" s="21"/>
      <c r="I34" s="21"/>
      <c r="J34" s="21"/>
      <c r="K34" s="36"/>
      <c r="L34" s="18"/>
      <c r="M34" s="19"/>
      <c r="N34" s="19" t="s">
        <v>54</v>
      </c>
      <c r="O34" s="47"/>
      <c r="P34" s="47"/>
      <c r="Q34" s="37"/>
      <c r="R34" s="37"/>
      <c r="S34" s="37"/>
      <c r="T34" s="19"/>
      <c r="U34" s="19"/>
      <c r="V34" s="19"/>
      <c r="W34" s="19"/>
      <c r="X34" s="19"/>
      <c r="Y34" s="19"/>
    </row>
    <row r="35" spans="1:25" ht="15.75" customHeight="1">
      <c r="A35" s="20"/>
      <c r="B35" s="21"/>
      <c r="C35" s="21"/>
      <c r="D35" s="77"/>
      <c r="E35" s="24"/>
      <c r="F35" s="21"/>
      <c r="G35" s="21"/>
      <c r="H35" s="21"/>
      <c r="I35" s="21"/>
      <c r="J35" s="21"/>
      <c r="K35" s="36"/>
      <c r="L35" s="58"/>
      <c r="M35" s="19" t="s">
        <v>55</v>
      </c>
      <c r="N35" s="47" t="s">
        <v>80</v>
      </c>
      <c r="O35" s="47"/>
      <c r="P35" s="19"/>
      <c r="Q35" s="37"/>
      <c r="R35" s="37"/>
      <c r="S35" s="37"/>
      <c r="T35" s="19"/>
      <c r="U35" s="19"/>
      <c r="V35" s="19"/>
      <c r="W35" s="19"/>
      <c r="X35" s="19"/>
      <c r="Y35" s="19"/>
    </row>
    <row r="36" spans="1:25" ht="15.75" customHeight="1">
      <c r="A36" s="20"/>
      <c r="B36" s="177" t="s">
        <v>68</v>
      </c>
      <c r="C36" s="178"/>
      <c r="D36" s="78"/>
      <c r="E36" s="79"/>
      <c r="F36" s="21"/>
      <c r="G36" s="21"/>
      <c r="H36" s="21"/>
      <c r="I36" s="21"/>
      <c r="J36" s="21"/>
      <c r="K36" s="27"/>
      <c r="L36" s="58"/>
      <c r="M36" s="19" t="s">
        <v>56</v>
      </c>
      <c r="N36" s="47" t="s">
        <v>81</v>
      </c>
      <c r="O36" s="47"/>
      <c r="P36" s="47"/>
      <c r="Q36" s="37"/>
      <c r="R36" s="37"/>
      <c r="S36" s="37"/>
      <c r="T36" s="19"/>
      <c r="U36" s="19"/>
      <c r="V36" s="19"/>
      <c r="W36" s="19"/>
      <c r="X36" s="19"/>
      <c r="Y36" s="19"/>
    </row>
    <row r="37" spans="1:29" ht="15.75" customHeight="1">
      <c r="A37" s="20"/>
      <c r="B37" s="173" t="s">
        <v>21</v>
      </c>
      <c r="C37" s="174"/>
      <c r="D37" s="62">
        <f>IF(D30=J19,J31*D34/1.36,IF(D30=J20,J32*D34/1.36,IF(D30=J21,J33*D34/1.36)))</f>
        <v>9.926470588235293</v>
      </c>
      <c r="E37" s="39" t="s">
        <v>50</v>
      </c>
      <c r="F37" s="21"/>
      <c r="G37" s="21"/>
      <c r="H37" s="21"/>
      <c r="I37" s="21"/>
      <c r="J37" s="21"/>
      <c r="K37" s="36"/>
      <c r="L37" s="58"/>
      <c r="M37" s="80"/>
      <c r="N37" s="19"/>
      <c r="O37" s="19"/>
      <c r="P37" s="19"/>
      <c r="Q37" s="81"/>
      <c r="R37" s="81"/>
      <c r="S37" s="81"/>
      <c r="T37" s="19"/>
      <c r="U37" s="19"/>
      <c r="V37" s="19"/>
      <c r="W37" s="19"/>
      <c r="X37" s="81"/>
      <c r="Y37" s="81"/>
      <c r="Z37" s="82"/>
      <c r="AA37" s="82"/>
      <c r="AB37" s="82"/>
      <c r="AC37" s="82"/>
    </row>
    <row r="38" spans="1:29" ht="15.75" customHeight="1">
      <c r="A38" s="20"/>
      <c r="B38" s="49"/>
      <c r="C38" s="50"/>
      <c r="D38" s="62">
        <f>D37*D27</f>
        <v>37.60026737967914</v>
      </c>
      <c r="E38" s="39" t="s">
        <v>71</v>
      </c>
      <c r="F38" s="21"/>
      <c r="G38" s="21"/>
      <c r="H38" s="21"/>
      <c r="I38" s="21"/>
      <c r="J38" s="21"/>
      <c r="K38" s="36"/>
      <c r="L38" s="58"/>
      <c r="M38" s="171" t="s">
        <v>102</v>
      </c>
      <c r="N38" s="171"/>
      <c r="O38" s="171"/>
      <c r="P38" s="19"/>
      <c r="Q38" s="19"/>
      <c r="R38" s="19"/>
      <c r="S38" s="37"/>
      <c r="T38" s="19"/>
      <c r="U38" s="19"/>
      <c r="V38" s="81"/>
      <c r="W38" s="81"/>
      <c r="X38" s="83"/>
      <c r="Y38" s="83"/>
      <c r="Z38" s="84"/>
      <c r="AA38" s="84"/>
      <c r="AB38" s="84"/>
      <c r="AC38" s="84"/>
    </row>
    <row r="39" spans="1:29" ht="15.75" customHeight="1">
      <c r="A39" s="20"/>
      <c r="B39" s="173" t="s">
        <v>23</v>
      </c>
      <c r="C39" s="174"/>
      <c r="D39" s="85">
        <f>D37*0.1/100</f>
        <v>0.009926470588235294</v>
      </c>
      <c r="E39" s="39" t="s">
        <v>50</v>
      </c>
      <c r="F39" s="21"/>
      <c r="G39" s="21"/>
      <c r="H39" s="21"/>
      <c r="I39" s="21"/>
      <c r="J39" s="21"/>
      <c r="K39" s="36"/>
      <c r="L39" s="18"/>
      <c r="M39" s="172" t="s">
        <v>95</v>
      </c>
      <c r="N39" s="47">
        <f>D34</f>
        <v>90</v>
      </c>
      <c r="O39" s="19" t="s">
        <v>14</v>
      </c>
      <c r="P39" s="19"/>
      <c r="Q39" s="19"/>
      <c r="R39" s="19"/>
      <c r="S39" s="37"/>
      <c r="T39" s="19"/>
      <c r="U39" s="37"/>
      <c r="V39" s="83"/>
      <c r="W39" s="83"/>
      <c r="X39" s="86"/>
      <c r="Y39" s="86"/>
      <c r="Z39" s="87"/>
      <c r="AA39" s="87"/>
      <c r="AB39" s="87"/>
      <c r="AC39" s="87"/>
    </row>
    <row r="40" spans="1:29" ht="15.75" customHeight="1">
      <c r="A40" s="20"/>
      <c r="B40" s="68"/>
      <c r="C40" s="70"/>
      <c r="D40" s="85">
        <f>D38*0.1/100</f>
        <v>0.03760026737967914</v>
      </c>
      <c r="E40" s="39" t="s">
        <v>71</v>
      </c>
      <c r="F40" s="21"/>
      <c r="G40" s="21"/>
      <c r="H40" s="21"/>
      <c r="I40" s="21"/>
      <c r="J40" s="21"/>
      <c r="K40" s="36"/>
      <c r="L40" s="18"/>
      <c r="M40" s="172"/>
      <c r="N40" s="83">
        <f>N39/1.36</f>
        <v>66.17647058823529</v>
      </c>
      <c r="O40" s="19" t="s">
        <v>43</v>
      </c>
      <c r="P40" s="81"/>
      <c r="Q40" s="161" t="s">
        <v>103</v>
      </c>
      <c r="R40" s="161"/>
      <c r="S40" s="19"/>
      <c r="T40" s="19"/>
      <c r="U40" s="37"/>
      <c r="V40" s="47"/>
      <c r="W40" s="86"/>
      <c r="X40" s="47"/>
      <c r="Y40" s="47"/>
      <c r="Z40" s="58"/>
      <c r="AA40" s="58"/>
      <c r="AB40" s="58"/>
      <c r="AC40" s="58"/>
    </row>
    <row r="41" spans="1:29" ht="15.75" customHeight="1">
      <c r="A41" s="20"/>
      <c r="B41" s="173" t="s">
        <v>70</v>
      </c>
      <c r="C41" s="174"/>
      <c r="D41" s="88">
        <v>1</v>
      </c>
      <c r="E41" s="39" t="s">
        <v>45</v>
      </c>
      <c r="F41" s="21"/>
      <c r="G41" s="21"/>
      <c r="H41" s="21"/>
      <c r="I41" s="21"/>
      <c r="J41" s="21"/>
      <c r="K41" s="36"/>
      <c r="L41" s="58"/>
      <c r="M41" s="175" t="s">
        <v>104</v>
      </c>
      <c r="N41" s="47">
        <f>+I61</f>
        <v>560</v>
      </c>
      <c r="O41" s="19" t="s">
        <v>46</v>
      </c>
      <c r="P41" s="19"/>
      <c r="Q41" s="161"/>
      <c r="R41" s="161"/>
      <c r="S41" s="19"/>
      <c r="T41" s="19"/>
      <c r="U41" s="37"/>
      <c r="V41" s="83"/>
      <c r="W41" s="47"/>
      <c r="X41" s="83"/>
      <c r="Y41" s="83"/>
      <c r="Z41" s="89"/>
      <c r="AA41" s="89"/>
      <c r="AB41" s="89"/>
      <c r="AC41" s="89"/>
    </row>
    <row r="42" spans="1:29" ht="15.75" customHeight="1">
      <c r="A42" s="20"/>
      <c r="B42" s="64" t="s">
        <v>72</v>
      </c>
      <c r="C42" s="65"/>
      <c r="D42" s="90">
        <f>D41*D37</f>
        <v>9.926470588235293</v>
      </c>
      <c r="E42" s="67" t="s">
        <v>31</v>
      </c>
      <c r="F42" s="21"/>
      <c r="G42" s="21"/>
      <c r="H42" s="21"/>
      <c r="I42" s="21"/>
      <c r="J42" s="21"/>
      <c r="K42" s="27"/>
      <c r="L42" s="58"/>
      <c r="M42" s="175"/>
      <c r="N42" s="91">
        <f>N40*N41</f>
        <v>37058.82352941176</v>
      </c>
      <c r="O42" s="19" t="s">
        <v>28</v>
      </c>
      <c r="P42" s="19"/>
      <c r="Q42" s="83" t="s">
        <v>26</v>
      </c>
      <c r="R42" s="86" t="s">
        <v>105</v>
      </c>
      <c r="S42" s="19"/>
      <c r="T42" s="19"/>
      <c r="U42" s="37"/>
      <c r="V42" s="83"/>
      <c r="W42" s="83"/>
      <c r="X42" s="83"/>
      <c r="Y42" s="83"/>
      <c r="Z42" s="89"/>
      <c r="AA42" s="89"/>
      <c r="AB42" s="89"/>
      <c r="AC42" s="89"/>
    </row>
    <row r="43" spans="1:29" ht="15.75" customHeight="1">
      <c r="A43" s="20"/>
      <c r="B43" s="92"/>
      <c r="C43" s="93"/>
      <c r="D43" s="94">
        <f>D38*D41</f>
        <v>37.60026737967914</v>
      </c>
      <c r="E43" s="95" t="s">
        <v>39</v>
      </c>
      <c r="F43" s="21"/>
      <c r="G43" s="21"/>
      <c r="H43" s="21"/>
      <c r="I43" s="21"/>
      <c r="J43" s="21"/>
      <c r="K43" s="36"/>
      <c r="L43" s="58"/>
      <c r="M43" s="175" t="s">
        <v>106</v>
      </c>
      <c r="N43" s="91">
        <v>12000</v>
      </c>
      <c r="O43" s="19" t="s">
        <v>44</v>
      </c>
      <c r="P43" s="19"/>
      <c r="Q43" s="91">
        <v>500</v>
      </c>
      <c r="R43" s="83">
        <f>$N$42/$N$43+$N$42/($N$44*Q43)+($N$42*$N$45*0.6)/(Q43*100)+($N$42*(($N$47+$N$46)/(Q43*100)))+$N$40*$N$49*$N$48</f>
        <v>11.225294117647056</v>
      </c>
      <c r="S43" s="19"/>
      <c r="T43" s="19"/>
      <c r="U43" s="19"/>
      <c r="V43" s="83"/>
      <c r="W43" s="83"/>
      <c r="X43" s="83"/>
      <c r="Y43" s="83"/>
      <c r="Z43" s="89"/>
      <c r="AA43" s="89"/>
      <c r="AB43" s="89"/>
      <c r="AC43" s="89"/>
    </row>
    <row r="44" spans="1:29" ht="15.75" customHeight="1">
      <c r="A44" s="20"/>
      <c r="B44" s="21"/>
      <c r="C44" s="21"/>
      <c r="D44" s="77"/>
      <c r="E44" s="24"/>
      <c r="F44" s="21"/>
      <c r="G44" s="21"/>
      <c r="H44" s="21"/>
      <c r="I44" s="21"/>
      <c r="J44" s="21"/>
      <c r="K44" s="36"/>
      <c r="L44" s="58"/>
      <c r="M44" s="175"/>
      <c r="N44" s="47">
        <v>20</v>
      </c>
      <c r="O44" s="19" t="s">
        <v>33</v>
      </c>
      <c r="P44" s="19"/>
      <c r="Q44" s="91">
        <v>1000</v>
      </c>
      <c r="R44" s="83">
        <f>$N$42/$N$43+$N$42/($N$44*Q44)+($N$42*$N$45*0.6)/(Q44*100)+($N$42*(($N$47+$N$46)/(Q44*100)))+$N$40*$N$49*$N$48</f>
        <v>8.149411764705881</v>
      </c>
      <c r="S44" s="19"/>
      <c r="T44" s="19"/>
      <c r="U44" s="19"/>
      <c r="V44" s="83"/>
      <c r="W44" s="83"/>
      <c r="X44" s="83"/>
      <c r="Y44" s="83"/>
      <c r="Z44" s="89"/>
      <c r="AA44" s="89"/>
      <c r="AB44" s="89"/>
      <c r="AC44" s="89"/>
    </row>
    <row r="45" spans="1:25" ht="15.75" customHeight="1">
      <c r="A45" s="20"/>
      <c r="B45" s="177" t="s">
        <v>69</v>
      </c>
      <c r="C45" s="178"/>
      <c r="D45" s="78"/>
      <c r="E45" s="96"/>
      <c r="F45" s="97"/>
      <c r="G45" s="98"/>
      <c r="H45" s="21"/>
      <c r="I45" s="181" t="s">
        <v>100</v>
      </c>
      <c r="J45" s="181"/>
      <c r="K45" s="99"/>
      <c r="L45" s="18"/>
      <c r="M45" s="28" t="s">
        <v>107</v>
      </c>
      <c r="N45" s="100">
        <f>+D52</f>
        <v>5</v>
      </c>
      <c r="O45" s="19" t="s">
        <v>15</v>
      </c>
      <c r="P45" s="19"/>
      <c r="Q45" s="19"/>
      <c r="R45" s="19"/>
      <c r="S45" s="19"/>
      <c r="T45" s="19"/>
      <c r="U45" s="19"/>
      <c r="V45" s="19"/>
      <c r="W45" s="83"/>
      <c r="X45" s="19"/>
      <c r="Y45" s="19"/>
    </row>
    <row r="46" spans="1:25" ht="15.75" customHeight="1">
      <c r="A46" s="20"/>
      <c r="B46" s="173" t="s">
        <v>25</v>
      </c>
      <c r="C46" s="174"/>
      <c r="D46" s="56">
        <f>IF(AD47=TRUE,J46,J47)</f>
        <v>100</v>
      </c>
      <c r="E46" s="101" t="s">
        <v>26</v>
      </c>
      <c r="F46" s="70"/>
      <c r="G46" s="102"/>
      <c r="H46" s="103"/>
      <c r="I46" s="42" t="s">
        <v>3</v>
      </c>
      <c r="J46" s="104">
        <v>100</v>
      </c>
      <c r="K46" s="99"/>
      <c r="L46" s="18"/>
      <c r="M46" s="28" t="s">
        <v>47</v>
      </c>
      <c r="N46" s="100">
        <v>0.2</v>
      </c>
      <c r="O46" s="19" t="s">
        <v>15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30" ht="15.75" customHeight="1">
      <c r="A47" s="20"/>
      <c r="B47" s="49"/>
      <c r="C47" s="50"/>
      <c r="D47" s="56"/>
      <c r="E47" s="105"/>
      <c r="F47" s="70"/>
      <c r="G47" s="102"/>
      <c r="H47" s="103"/>
      <c r="I47" s="42" t="s">
        <v>6</v>
      </c>
      <c r="J47" s="106">
        <v>200</v>
      </c>
      <c r="K47" s="99"/>
      <c r="L47" s="18"/>
      <c r="M47" s="28" t="s">
        <v>48</v>
      </c>
      <c r="N47" s="100">
        <v>0.1</v>
      </c>
      <c r="O47" s="19" t="s">
        <v>15</v>
      </c>
      <c r="P47" s="19"/>
      <c r="Q47" s="19"/>
      <c r="R47" s="19"/>
      <c r="S47" s="19"/>
      <c r="T47" s="19"/>
      <c r="U47" s="81"/>
      <c r="V47" s="19"/>
      <c r="W47" s="19"/>
      <c r="X47" s="19"/>
      <c r="Y47" s="19"/>
      <c r="AD47" s="12" t="b">
        <v>1</v>
      </c>
    </row>
    <row r="48" spans="1:30" ht="15.75" customHeight="1">
      <c r="A48" s="20"/>
      <c r="B48" s="173" t="s">
        <v>27</v>
      </c>
      <c r="C48" s="174"/>
      <c r="D48" s="44">
        <f>F48*AG17</f>
        <v>14000</v>
      </c>
      <c r="E48" s="101" t="s">
        <v>28</v>
      </c>
      <c r="F48" s="107">
        <v>3500</v>
      </c>
      <c r="G48" s="108" t="s">
        <v>118</v>
      </c>
      <c r="H48" s="21"/>
      <c r="I48" s="21"/>
      <c r="J48" s="21"/>
      <c r="K48" s="27"/>
      <c r="L48" s="18"/>
      <c r="M48" s="109" t="s">
        <v>108</v>
      </c>
      <c r="N48" s="100">
        <v>0.2</v>
      </c>
      <c r="O48" s="110" t="s">
        <v>45</v>
      </c>
      <c r="P48" s="19"/>
      <c r="Q48" s="19"/>
      <c r="R48" s="19"/>
      <c r="S48" s="19"/>
      <c r="T48" s="19"/>
      <c r="U48" s="19"/>
      <c r="V48" s="86"/>
      <c r="W48" s="19"/>
      <c r="X48" s="19"/>
      <c r="Y48" s="19"/>
      <c r="AD48" s="12" t="b">
        <v>0</v>
      </c>
    </row>
    <row r="49" spans="1:25" ht="15.75" customHeight="1">
      <c r="A49" s="20"/>
      <c r="B49" s="68"/>
      <c r="C49" s="70"/>
      <c r="D49" s="44"/>
      <c r="E49" s="105"/>
      <c r="F49" s="70"/>
      <c r="G49" s="111"/>
      <c r="H49" s="21"/>
      <c r="I49" s="21"/>
      <c r="J49" s="21"/>
      <c r="K49" s="36"/>
      <c r="L49" s="18"/>
      <c r="M49" s="109" t="s">
        <v>109</v>
      </c>
      <c r="N49" s="112">
        <v>0.15</v>
      </c>
      <c r="O49" s="110" t="s">
        <v>49</v>
      </c>
      <c r="P49" s="19"/>
      <c r="Q49" s="19"/>
      <c r="R49" s="19"/>
      <c r="S49" s="19"/>
      <c r="T49" s="19"/>
      <c r="U49" s="19"/>
      <c r="V49" s="47"/>
      <c r="W49" s="19"/>
      <c r="X49" s="19"/>
      <c r="Y49" s="19"/>
    </row>
    <row r="50" spans="1:25" ht="15.75" customHeight="1">
      <c r="A50" s="20"/>
      <c r="B50" s="173" t="s">
        <v>29</v>
      </c>
      <c r="C50" s="174"/>
      <c r="D50" s="113">
        <v>1200</v>
      </c>
      <c r="E50" s="101" t="s">
        <v>30</v>
      </c>
      <c r="F50" s="114">
        <f>+$D$48/$D50</f>
        <v>11.666666666666666</v>
      </c>
      <c r="G50" s="108" t="s">
        <v>31</v>
      </c>
      <c r="H50" s="21"/>
      <c r="I50" s="21"/>
      <c r="J50" s="21"/>
      <c r="K50" s="36"/>
      <c r="L50" s="18"/>
      <c r="M50" s="19"/>
      <c r="N50" s="19"/>
      <c r="O50" s="19"/>
      <c r="P50" s="19"/>
      <c r="Q50" s="19"/>
      <c r="R50" s="19"/>
      <c r="S50" s="19"/>
      <c r="T50" s="19"/>
      <c r="U50" s="19"/>
      <c r="V50" s="83"/>
      <c r="W50" s="19"/>
      <c r="X50" s="19"/>
      <c r="Y50" s="19"/>
    </row>
    <row r="51" spans="1:25" ht="15.75" customHeight="1">
      <c r="A51" s="20"/>
      <c r="B51" s="173" t="s">
        <v>32</v>
      </c>
      <c r="C51" s="174"/>
      <c r="D51" s="115">
        <v>20</v>
      </c>
      <c r="E51" s="101" t="s">
        <v>33</v>
      </c>
      <c r="F51" s="114">
        <f>+$D$48/($D51*D46)</f>
        <v>7</v>
      </c>
      <c r="G51" s="108" t="s">
        <v>31</v>
      </c>
      <c r="H51" s="21"/>
      <c r="I51" s="21"/>
      <c r="J51" s="21"/>
      <c r="K51" s="116"/>
      <c r="L51" s="18"/>
      <c r="M51" s="19"/>
      <c r="N51" s="19"/>
      <c r="O51" s="19"/>
      <c r="P51" s="19"/>
      <c r="Q51" s="19"/>
      <c r="R51" s="19"/>
      <c r="S51" s="19"/>
      <c r="T51" s="19"/>
      <c r="U51" s="19"/>
      <c r="V51" s="83"/>
      <c r="W51" s="19"/>
      <c r="X51" s="19"/>
      <c r="Y51" s="19"/>
    </row>
    <row r="52" spans="1:25" ht="15.75" customHeight="1">
      <c r="A52" s="20"/>
      <c r="B52" s="173" t="s">
        <v>34</v>
      </c>
      <c r="C52" s="174"/>
      <c r="D52" s="115">
        <v>5</v>
      </c>
      <c r="E52" s="101" t="s">
        <v>15</v>
      </c>
      <c r="F52" s="114">
        <f>+$D$48*0.006*$D52/D46</f>
        <v>4.2</v>
      </c>
      <c r="G52" s="108" t="s">
        <v>31</v>
      </c>
      <c r="H52" s="21"/>
      <c r="I52" s="166" t="str">
        <f>CONCATENATE("Vida útil para ",D46," h/año")</f>
        <v>Vida útil para 100 h/año</v>
      </c>
      <c r="J52" s="166"/>
      <c r="K52" s="27"/>
      <c r="L52" s="18"/>
      <c r="M52" s="164" t="s">
        <v>82</v>
      </c>
      <c r="N52" s="164" t="s">
        <v>83</v>
      </c>
      <c r="O52" s="164" t="s">
        <v>84</v>
      </c>
      <c r="P52" s="164" t="s">
        <v>93</v>
      </c>
      <c r="Q52" s="164" t="s">
        <v>89</v>
      </c>
      <c r="R52" s="164" t="s">
        <v>90</v>
      </c>
      <c r="S52" s="19"/>
      <c r="T52" s="19"/>
      <c r="U52" s="19"/>
      <c r="V52" s="83"/>
      <c r="W52" s="19"/>
      <c r="X52" s="19"/>
      <c r="Y52" s="19"/>
    </row>
    <row r="53" spans="1:25" ht="15.75" customHeight="1">
      <c r="A53" s="20"/>
      <c r="B53" s="173" t="s">
        <v>35</v>
      </c>
      <c r="C53" s="174"/>
      <c r="D53" s="115">
        <v>0.2</v>
      </c>
      <c r="E53" s="101" t="s">
        <v>36</v>
      </c>
      <c r="F53" s="114">
        <f>+$D$48*$D53/(100*D46)</f>
        <v>0.28</v>
      </c>
      <c r="G53" s="108" t="s">
        <v>31</v>
      </c>
      <c r="H53" s="21"/>
      <c r="I53" s="117" t="s">
        <v>30</v>
      </c>
      <c r="J53" s="118">
        <f>+$D$48/($F$50+$F$51)</f>
        <v>750.0000000000001</v>
      </c>
      <c r="K53" s="27"/>
      <c r="L53" s="18"/>
      <c r="M53" s="164"/>
      <c r="N53" s="164"/>
      <c r="O53" s="164"/>
      <c r="P53" s="164"/>
      <c r="Q53" s="164"/>
      <c r="R53" s="164"/>
      <c r="S53" s="19"/>
      <c r="T53" s="19"/>
      <c r="U53" s="19"/>
      <c r="V53" s="83"/>
      <c r="W53" s="19"/>
      <c r="X53" s="19"/>
      <c r="Y53" s="19"/>
    </row>
    <row r="54" spans="1:25" ht="15.75" customHeight="1">
      <c r="A54" s="20"/>
      <c r="B54" s="173" t="s">
        <v>37</v>
      </c>
      <c r="C54" s="174"/>
      <c r="D54" s="115">
        <v>0.1</v>
      </c>
      <c r="E54" s="101" t="s">
        <v>36</v>
      </c>
      <c r="F54" s="114">
        <f>+$D$48*$D54/(D46*100)</f>
        <v>0.14</v>
      </c>
      <c r="G54" s="108" t="s">
        <v>31</v>
      </c>
      <c r="H54" s="21"/>
      <c r="I54" s="117" t="s">
        <v>33</v>
      </c>
      <c r="J54" s="119">
        <f>+$D$48/($D$46*($F$50+$F$51))</f>
        <v>7.500000000000001</v>
      </c>
      <c r="K54" s="120"/>
      <c r="L54" s="18"/>
      <c r="M54" s="47">
        <v>180</v>
      </c>
      <c r="N54" s="53">
        <v>75</v>
      </c>
      <c r="O54" s="53">
        <f aca="true" t="shared" si="0" ref="O54:O65">N54/100*M54</f>
        <v>135</v>
      </c>
      <c r="P54" s="121">
        <f aca="true" t="shared" si="1" ref="P54:P65">0.75*O54</f>
        <v>101.25</v>
      </c>
      <c r="Q54" s="54">
        <f aca="true" t="shared" si="2" ref="Q54:Q65">M$17+M$17*D$20/100</f>
        <v>1.65</v>
      </c>
      <c r="R54" s="121">
        <f aca="true" t="shared" si="3" ref="R54:R65">P54/(Q54*1.36)</f>
        <v>45.12032085561497</v>
      </c>
      <c r="S54" s="19"/>
      <c r="T54" s="19"/>
      <c r="U54" s="19"/>
      <c r="V54" s="19"/>
      <c r="W54" s="19"/>
      <c r="X54" s="19"/>
      <c r="Y54" s="19"/>
    </row>
    <row r="55" spans="1:25" ht="15.75" customHeight="1" thickBot="1">
      <c r="A55" s="20"/>
      <c r="B55" s="167" t="s">
        <v>38</v>
      </c>
      <c r="C55" s="168"/>
      <c r="D55" s="122">
        <v>0.75</v>
      </c>
      <c r="E55" s="123" t="s">
        <v>39</v>
      </c>
      <c r="F55" s="124">
        <f>+D55/D27</f>
        <v>0.198</v>
      </c>
      <c r="G55" s="125" t="s">
        <v>31</v>
      </c>
      <c r="H55" s="21"/>
      <c r="I55" s="21"/>
      <c r="J55" s="21"/>
      <c r="K55" s="126"/>
      <c r="L55" s="18"/>
      <c r="M55" s="47">
        <v>180</v>
      </c>
      <c r="N55" s="53">
        <v>50</v>
      </c>
      <c r="O55" s="53">
        <f t="shared" si="0"/>
        <v>90</v>
      </c>
      <c r="P55" s="121">
        <f t="shared" si="1"/>
        <v>67.5</v>
      </c>
      <c r="Q55" s="54">
        <f t="shared" si="2"/>
        <v>1.65</v>
      </c>
      <c r="R55" s="121">
        <f t="shared" si="3"/>
        <v>30.080213903743314</v>
      </c>
      <c r="S55" s="47"/>
      <c r="T55" s="19"/>
      <c r="U55" s="19"/>
      <c r="V55" s="19"/>
      <c r="W55" s="19"/>
      <c r="X55" s="19"/>
      <c r="Y55" s="19"/>
    </row>
    <row r="56" spans="1:25" ht="15.75" customHeight="1" thickTop="1">
      <c r="A56" s="20"/>
      <c r="B56" s="64" t="s">
        <v>40</v>
      </c>
      <c r="C56" s="18"/>
      <c r="D56" s="105"/>
      <c r="E56" s="105"/>
      <c r="F56" s="114">
        <f>SUM(F50:F55)</f>
        <v>23.484666666666666</v>
      </c>
      <c r="G56" s="108" t="s">
        <v>31</v>
      </c>
      <c r="H56" s="21"/>
      <c r="I56" s="21"/>
      <c r="J56" s="21"/>
      <c r="K56" s="127"/>
      <c r="L56" s="18"/>
      <c r="M56" s="47">
        <v>180</v>
      </c>
      <c r="N56" s="53">
        <v>25</v>
      </c>
      <c r="O56" s="53">
        <f t="shared" si="0"/>
        <v>45</v>
      </c>
      <c r="P56" s="121">
        <f t="shared" si="1"/>
        <v>33.75</v>
      </c>
      <c r="Q56" s="54">
        <f t="shared" si="2"/>
        <v>1.65</v>
      </c>
      <c r="R56" s="121">
        <f t="shared" si="3"/>
        <v>15.040106951871657</v>
      </c>
      <c r="S56" s="47"/>
      <c r="T56" s="19"/>
      <c r="U56" s="19"/>
      <c r="V56" s="19"/>
      <c r="W56" s="19"/>
      <c r="X56" s="19"/>
      <c r="Y56" s="19"/>
    </row>
    <row r="57" spans="1:25" ht="15.75" customHeight="1">
      <c r="A57" s="20"/>
      <c r="B57" s="128"/>
      <c r="C57" s="129"/>
      <c r="D57" s="130"/>
      <c r="E57" s="130"/>
      <c r="F57" s="131">
        <f>+F56*D27</f>
        <v>88.9570707070707</v>
      </c>
      <c r="G57" s="132" t="s">
        <v>39</v>
      </c>
      <c r="H57" s="21"/>
      <c r="I57" s="21"/>
      <c r="J57" s="21"/>
      <c r="K57" s="27"/>
      <c r="L57" s="18"/>
      <c r="M57" s="47">
        <v>150</v>
      </c>
      <c r="N57" s="53">
        <v>75</v>
      </c>
      <c r="O57" s="53">
        <f t="shared" si="0"/>
        <v>112.5</v>
      </c>
      <c r="P57" s="121">
        <f t="shared" si="1"/>
        <v>84.375</v>
      </c>
      <c r="Q57" s="54">
        <f t="shared" si="2"/>
        <v>1.65</v>
      </c>
      <c r="R57" s="121">
        <f t="shared" si="3"/>
        <v>37.60026737967914</v>
      </c>
      <c r="S57" s="47"/>
      <c r="T57" s="19"/>
      <c r="U57" s="19"/>
      <c r="V57" s="19"/>
      <c r="W57" s="19"/>
      <c r="X57" s="19"/>
      <c r="Y57" s="19"/>
    </row>
    <row r="58" spans="1:25" ht="15.75" customHeight="1">
      <c r="A58" s="20"/>
      <c r="B58" s="21"/>
      <c r="C58" s="21"/>
      <c r="D58" s="24"/>
      <c r="E58" s="24"/>
      <c r="F58" s="21"/>
      <c r="G58" s="26"/>
      <c r="H58" s="21"/>
      <c r="I58" s="21"/>
      <c r="J58" s="21"/>
      <c r="K58" s="27"/>
      <c r="L58" s="18"/>
      <c r="M58" s="47">
        <v>150</v>
      </c>
      <c r="N58" s="53">
        <v>50</v>
      </c>
      <c r="O58" s="53">
        <f t="shared" si="0"/>
        <v>75</v>
      </c>
      <c r="P58" s="121">
        <f t="shared" si="1"/>
        <v>56.25</v>
      </c>
      <c r="Q58" s="54">
        <f t="shared" si="2"/>
        <v>1.65</v>
      </c>
      <c r="R58" s="121">
        <f t="shared" si="3"/>
        <v>25.066844919786092</v>
      </c>
      <c r="S58" s="19"/>
      <c r="T58" s="19"/>
      <c r="U58" s="19"/>
      <c r="V58" s="19"/>
      <c r="W58" s="19"/>
      <c r="X58" s="19"/>
      <c r="Y58" s="19"/>
    </row>
    <row r="59" spans="1:25" ht="15.75" customHeight="1">
      <c r="A59" s="20"/>
      <c r="B59" s="182" t="s">
        <v>42</v>
      </c>
      <c r="C59" s="182"/>
      <c r="D59" s="182"/>
      <c r="E59" s="165" t="s">
        <v>110</v>
      </c>
      <c r="F59" s="165"/>
      <c r="G59" s="133"/>
      <c r="H59" s="21"/>
      <c r="I59" s="21"/>
      <c r="J59" s="21"/>
      <c r="K59" s="27"/>
      <c r="L59" s="18"/>
      <c r="M59" s="47">
        <v>150</v>
      </c>
      <c r="N59" s="53">
        <v>25</v>
      </c>
      <c r="O59" s="53">
        <f t="shared" si="0"/>
        <v>37.5</v>
      </c>
      <c r="P59" s="121">
        <f t="shared" si="1"/>
        <v>28.125</v>
      </c>
      <c r="Q59" s="54">
        <f t="shared" si="2"/>
        <v>1.65</v>
      </c>
      <c r="R59" s="121">
        <f t="shared" si="3"/>
        <v>12.533422459893046</v>
      </c>
      <c r="S59" s="19"/>
      <c r="T59" s="19"/>
      <c r="U59" s="19"/>
      <c r="V59" s="19"/>
      <c r="W59" s="19"/>
      <c r="X59" s="19"/>
      <c r="Y59" s="19"/>
    </row>
    <row r="60" spans="1:25" ht="15.75" customHeight="1">
      <c r="A60" s="20"/>
      <c r="B60" s="162" t="s">
        <v>96</v>
      </c>
      <c r="C60" s="162"/>
      <c r="D60" s="134" t="s">
        <v>97</v>
      </c>
      <c r="E60" s="135" t="s">
        <v>31</v>
      </c>
      <c r="F60" s="135" t="s">
        <v>39</v>
      </c>
      <c r="G60" s="133"/>
      <c r="H60" s="21"/>
      <c r="I60" s="162" t="s">
        <v>115</v>
      </c>
      <c r="J60" s="162"/>
      <c r="K60" s="27"/>
      <c r="L60" s="18"/>
      <c r="M60" s="47">
        <v>120</v>
      </c>
      <c r="N60" s="53">
        <v>75</v>
      </c>
      <c r="O60" s="53">
        <f t="shared" si="0"/>
        <v>90</v>
      </c>
      <c r="P60" s="121">
        <f t="shared" si="1"/>
        <v>67.5</v>
      </c>
      <c r="Q60" s="54">
        <f t="shared" si="2"/>
        <v>1.65</v>
      </c>
      <c r="R60" s="121">
        <f t="shared" si="3"/>
        <v>30.080213903743314</v>
      </c>
      <c r="S60" s="19"/>
      <c r="T60" s="19"/>
      <c r="U60" s="19"/>
      <c r="V60" s="19"/>
      <c r="W60" s="19"/>
      <c r="X60" s="19"/>
      <c r="Y60" s="19"/>
    </row>
    <row r="61" spans="1:25" ht="15.75" customHeight="1">
      <c r="A61" s="20"/>
      <c r="B61" s="42"/>
      <c r="C61" s="42" t="s">
        <v>98</v>
      </c>
      <c r="D61" s="136">
        <f>R43</f>
        <v>11.225294117647056</v>
      </c>
      <c r="E61" s="137">
        <f>IF(AD68=TRUE,D61+D42,D61*0)</f>
        <v>21.15176470588235</v>
      </c>
      <c r="F61" s="138">
        <f>E61*$D$27</f>
        <v>80.12032085561496</v>
      </c>
      <c r="G61" s="139">
        <f>IF(AD68=TRUE,F61,F61*0)</f>
        <v>80.12032085561496</v>
      </c>
      <c r="H61" s="21"/>
      <c r="I61" s="140">
        <v>560</v>
      </c>
      <c r="J61" s="60" t="s">
        <v>116</v>
      </c>
      <c r="K61" s="27"/>
      <c r="L61" s="18"/>
      <c r="M61" s="47">
        <v>120</v>
      </c>
      <c r="N61" s="53">
        <v>50</v>
      </c>
      <c r="O61" s="53">
        <f t="shared" si="0"/>
        <v>60</v>
      </c>
      <c r="P61" s="121">
        <f t="shared" si="1"/>
        <v>45</v>
      </c>
      <c r="Q61" s="54">
        <f t="shared" si="2"/>
        <v>1.65</v>
      </c>
      <c r="R61" s="121">
        <f t="shared" si="3"/>
        <v>20.053475935828875</v>
      </c>
      <c r="S61" s="19"/>
      <c r="T61" s="19"/>
      <c r="U61" s="19"/>
      <c r="V61" s="19"/>
      <c r="W61" s="19"/>
      <c r="X61" s="19"/>
      <c r="Y61" s="19"/>
    </row>
    <row r="62" spans="1:25" ht="15.75" customHeight="1">
      <c r="A62" s="20"/>
      <c r="B62" s="42"/>
      <c r="C62" s="42" t="s">
        <v>99</v>
      </c>
      <c r="D62" s="136">
        <f>R44</f>
        <v>8.149411764705881</v>
      </c>
      <c r="E62" s="137">
        <f>IF(AD69=TRUE,D62+D42,D62*0)</f>
        <v>0</v>
      </c>
      <c r="F62" s="138">
        <f>E62*$D$27</f>
        <v>0</v>
      </c>
      <c r="G62" s="141">
        <f>IF(AD69=TRUE,F62,F62*0)</f>
        <v>0</v>
      </c>
      <c r="H62" s="21"/>
      <c r="I62" s="21"/>
      <c r="J62" s="21"/>
      <c r="K62" s="27"/>
      <c r="L62" s="18"/>
      <c r="M62" s="47">
        <v>120</v>
      </c>
      <c r="N62" s="53">
        <v>25</v>
      </c>
      <c r="O62" s="53">
        <f t="shared" si="0"/>
        <v>30</v>
      </c>
      <c r="P62" s="121">
        <f t="shared" si="1"/>
        <v>22.5</v>
      </c>
      <c r="Q62" s="54">
        <f t="shared" si="2"/>
        <v>1.65</v>
      </c>
      <c r="R62" s="121">
        <f t="shared" si="3"/>
        <v>10.026737967914437</v>
      </c>
      <c r="S62" s="19"/>
      <c r="T62" s="19"/>
      <c r="U62" s="19"/>
      <c r="V62" s="19"/>
      <c r="W62" s="19"/>
      <c r="X62" s="19"/>
      <c r="Y62" s="19"/>
    </row>
    <row r="63" spans="1:25" ht="15.75" customHeight="1">
      <c r="A63" s="20"/>
      <c r="B63" s="21"/>
      <c r="C63" s="142"/>
      <c r="D63" s="24"/>
      <c r="E63" s="22"/>
      <c r="F63" s="143"/>
      <c r="G63" s="133"/>
      <c r="H63" s="21"/>
      <c r="I63" s="21"/>
      <c r="J63" s="21"/>
      <c r="K63" s="27"/>
      <c r="L63" s="18"/>
      <c r="M63" s="47">
        <v>90</v>
      </c>
      <c r="N63" s="53">
        <v>75</v>
      </c>
      <c r="O63" s="53">
        <f t="shared" si="0"/>
        <v>67.5</v>
      </c>
      <c r="P63" s="121">
        <f t="shared" si="1"/>
        <v>50.625</v>
      </c>
      <c r="Q63" s="54">
        <f t="shared" si="2"/>
        <v>1.65</v>
      </c>
      <c r="R63" s="121">
        <f t="shared" si="3"/>
        <v>22.560160427807485</v>
      </c>
      <c r="S63" s="19"/>
      <c r="T63" s="19"/>
      <c r="U63" s="19"/>
      <c r="V63" s="19"/>
      <c r="W63" s="19"/>
      <c r="X63" s="19"/>
      <c r="Y63" s="19"/>
    </row>
    <row r="64" spans="1:25" ht="15.75" customHeight="1">
      <c r="A64" s="20"/>
      <c r="B64" s="163" t="s">
        <v>111</v>
      </c>
      <c r="C64" s="163"/>
      <c r="D64" s="163"/>
      <c r="E64" s="169" t="s">
        <v>40</v>
      </c>
      <c r="F64" s="169"/>
      <c r="G64" s="133"/>
      <c r="H64" s="21"/>
      <c r="I64" s="21"/>
      <c r="J64" s="21"/>
      <c r="K64" s="27"/>
      <c r="L64" s="18"/>
      <c r="M64" s="47">
        <v>90</v>
      </c>
      <c r="N64" s="53">
        <v>50</v>
      </c>
      <c r="O64" s="53">
        <f t="shared" si="0"/>
        <v>45</v>
      </c>
      <c r="P64" s="121">
        <f t="shared" si="1"/>
        <v>33.75</v>
      </c>
      <c r="Q64" s="54">
        <f t="shared" si="2"/>
        <v>1.65</v>
      </c>
      <c r="R64" s="121">
        <f t="shared" si="3"/>
        <v>15.040106951871657</v>
      </c>
      <c r="S64" s="19"/>
      <c r="T64" s="19"/>
      <c r="U64" s="19"/>
      <c r="V64" s="19"/>
      <c r="W64" s="19"/>
      <c r="X64" s="19"/>
      <c r="Y64" s="19"/>
    </row>
    <row r="65" spans="1:25" ht="15.75" customHeight="1">
      <c r="A65" s="20"/>
      <c r="B65" s="162" t="s">
        <v>96</v>
      </c>
      <c r="C65" s="162"/>
      <c r="D65" s="144" t="s">
        <v>41</v>
      </c>
      <c r="E65" s="169" t="s">
        <v>39</v>
      </c>
      <c r="F65" s="169"/>
      <c r="G65" s="26"/>
      <c r="H65" s="21"/>
      <c r="I65" s="21"/>
      <c r="J65" s="21"/>
      <c r="K65" s="27"/>
      <c r="L65" s="18"/>
      <c r="M65" s="47">
        <v>90</v>
      </c>
      <c r="N65" s="53">
        <v>25</v>
      </c>
      <c r="O65" s="53">
        <f t="shared" si="0"/>
        <v>22.5</v>
      </c>
      <c r="P65" s="121">
        <f t="shared" si="1"/>
        <v>16.875</v>
      </c>
      <c r="Q65" s="54">
        <f t="shared" si="2"/>
        <v>1.65</v>
      </c>
      <c r="R65" s="121">
        <f t="shared" si="3"/>
        <v>7.520053475935828</v>
      </c>
      <c r="S65" s="19"/>
      <c r="T65" s="19"/>
      <c r="U65" s="19"/>
      <c r="V65" s="19"/>
      <c r="W65" s="19"/>
      <c r="X65" s="19"/>
      <c r="Y65" s="19"/>
    </row>
    <row r="66" spans="1:25" ht="15.75" customHeight="1">
      <c r="A66" s="20"/>
      <c r="B66" s="42"/>
      <c r="C66" s="145" t="str">
        <f>IF(D46=J46,"Baja","Alta")</f>
        <v>Baja</v>
      </c>
      <c r="D66" s="146">
        <f>D46*D28</f>
        <v>26.400000000000002</v>
      </c>
      <c r="E66" s="170">
        <f>+F57+$G$61+$G$62</f>
        <v>169.07739156268565</v>
      </c>
      <c r="F66" s="170" t="e">
        <f>$D$26*($D$47/$D$49)+$D$47/($D$50*D66*$D$26)+(($D$47*0.006*$D$51)/(D66*$D$26))+$D$47*($D$52+$D$53)/(100*D66*$D$26)+($D$54/$D$26)+$D$72</f>
        <v>#DIV/0!</v>
      </c>
      <c r="G66" s="26"/>
      <c r="H66" s="21"/>
      <c r="I66" s="21"/>
      <c r="J66" s="21"/>
      <c r="K66" s="27"/>
      <c r="L66" s="18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5.75" customHeight="1">
      <c r="A67" s="147"/>
      <c r="B67" s="148"/>
      <c r="C67" s="148"/>
      <c r="D67" s="149"/>
      <c r="E67" s="149"/>
      <c r="F67" s="148"/>
      <c r="G67" s="150"/>
      <c r="H67" s="148"/>
      <c r="I67" s="148"/>
      <c r="J67" s="148"/>
      <c r="K67" s="151"/>
      <c r="L67" s="18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3:30" ht="15.75" customHeight="1">
      <c r="C68" s="152"/>
      <c r="D68" s="153"/>
      <c r="E68" s="154"/>
      <c r="F68" s="155"/>
      <c r="G68" s="156"/>
      <c r="K68" s="18"/>
      <c r="L68" s="18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AD68" s="12" t="b">
        <v>1</v>
      </c>
    </row>
    <row r="69" spans="4:30" ht="15.75" customHeight="1">
      <c r="D69" s="153"/>
      <c r="K69" s="157"/>
      <c r="L69" s="18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AD69" s="12" t="b">
        <v>0</v>
      </c>
    </row>
    <row r="70" spans="3:25" ht="15.75" customHeight="1">
      <c r="C70" s="158"/>
      <c r="D70" s="153"/>
      <c r="F70" s="159"/>
      <c r="G70" s="160"/>
      <c r="K70" s="157"/>
      <c r="L70" s="18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4:25" ht="15.75" customHeight="1">
      <c r="D71" s="153"/>
      <c r="F71" s="159"/>
      <c r="G71" s="160"/>
      <c r="K71" s="157"/>
      <c r="L71" s="18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4:25" ht="15.75" customHeight="1">
      <c r="D72" s="153"/>
      <c r="K72" s="18"/>
      <c r="L72" s="18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4:30" ht="15.75" customHeight="1">
      <c r="D73" s="153"/>
      <c r="K73" s="18"/>
      <c r="L73" s="18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AD73" s="12" t="b">
        <v>1</v>
      </c>
    </row>
    <row r="74" spans="3:30" ht="15.75" customHeight="1">
      <c r="C74" s="152"/>
      <c r="D74" s="153"/>
      <c r="E74" s="154"/>
      <c r="F74" s="159"/>
      <c r="G74" s="160"/>
      <c r="K74" s="18"/>
      <c r="L74" s="18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AD74" s="12" t="b">
        <v>1</v>
      </c>
    </row>
    <row r="75" spans="4:25" ht="15.75" customHeight="1">
      <c r="D75" s="153"/>
      <c r="E75" s="154"/>
      <c r="F75" s="159"/>
      <c r="G75" s="160"/>
      <c r="K75" s="18"/>
      <c r="L75" s="18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1:21" ht="15.75" customHeight="1"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1:21" ht="15.75" customHeight="1"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1:21" ht="15.75" customHeight="1"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1:21" ht="15.75" customHeight="1"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1:21" ht="15.75" customHeight="1"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1:21" ht="15.75" customHeight="1"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1:21" ht="15.75" customHeight="1"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1:21" ht="15.75" customHeight="1"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1:21" ht="15.75" customHeight="1"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1:21" ht="15.75" customHeight="1"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1:21" ht="15.75" customHeight="1"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1:21" ht="15.75" customHeight="1"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1:21" ht="15.75" customHeight="1"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1:21" ht="13.5"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1:21" ht="13.5"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1:21" ht="13.5"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1:21" ht="13.5"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1:21" ht="13.5"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1:21" ht="13.5"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1:21" ht="13.5"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1:21" ht="13.5"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1:21" ht="13.5"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1:21" ht="13.5"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1:21" ht="13.5"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</sheetData>
  <sheetProtection/>
  <mergeCells count="59">
    <mergeCell ref="M10:N10"/>
    <mergeCell ref="M13:O15"/>
    <mergeCell ref="I13:J13"/>
    <mergeCell ref="I18:J18"/>
    <mergeCell ref="B20:C20"/>
    <mergeCell ref="B27:C27"/>
    <mergeCell ref="B21:C21"/>
    <mergeCell ref="M29:N30"/>
    <mergeCell ref="I23:J23"/>
    <mergeCell ref="I29:J29"/>
    <mergeCell ref="B25:C25"/>
    <mergeCell ref="B26:C26"/>
    <mergeCell ref="B23:C23"/>
    <mergeCell ref="B30:C30"/>
    <mergeCell ref="B13:C13"/>
    <mergeCell ref="B14:C14"/>
    <mergeCell ref="B15:C15"/>
    <mergeCell ref="B19:C19"/>
    <mergeCell ref="B18:C18"/>
    <mergeCell ref="B16:C16"/>
    <mergeCell ref="B65:C65"/>
    <mergeCell ref="B51:C51"/>
    <mergeCell ref="B52:C52"/>
    <mergeCell ref="B37:C37"/>
    <mergeCell ref="B54:C54"/>
    <mergeCell ref="B59:D59"/>
    <mergeCell ref="B41:C41"/>
    <mergeCell ref="I45:J45"/>
    <mergeCell ref="B53:C53"/>
    <mergeCell ref="B46:C46"/>
    <mergeCell ref="B48:C48"/>
    <mergeCell ref="B50:C50"/>
    <mergeCell ref="B45:C45"/>
    <mergeCell ref="M38:O38"/>
    <mergeCell ref="M39:M40"/>
    <mergeCell ref="B31:C31"/>
    <mergeCell ref="M43:M44"/>
    <mergeCell ref="M33:N33"/>
    <mergeCell ref="B36:C36"/>
    <mergeCell ref="M41:M42"/>
    <mergeCell ref="B39:C39"/>
    <mergeCell ref="B33:C33"/>
    <mergeCell ref="B34:C34"/>
    <mergeCell ref="E65:F65"/>
    <mergeCell ref="E66:F66"/>
    <mergeCell ref="R52:R53"/>
    <mergeCell ref="M52:M53"/>
    <mergeCell ref="N52:N53"/>
    <mergeCell ref="I60:J60"/>
    <mergeCell ref="Q40:R41"/>
    <mergeCell ref="B60:C60"/>
    <mergeCell ref="B64:D64"/>
    <mergeCell ref="P52:P53"/>
    <mergeCell ref="Q52:Q53"/>
    <mergeCell ref="E59:F59"/>
    <mergeCell ref="I52:J52"/>
    <mergeCell ref="O52:O53"/>
    <mergeCell ref="B55:C55"/>
    <mergeCell ref="E64:F64"/>
  </mergeCells>
  <conditionalFormatting sqref="N16 N32 P33:P34 M34:O36 J24:J27">
    <cfRule type="cellIs" priority="1" dxfId="0" operator="equal" stopIfTrue="1">
      <formula>$D$34</formula>
    </cfRule>
  </conditionalFormatting>
  <conditionalFormatting sqref="M16:M20">
    <cfRule type="cellIs" priority="2" dxfId="0" operator="equal" stopIfTrue="1">
      <formula>#REF!</formula>
    </cfRule>
  </conditionalFormatting>
  <conditionalFormatting sqref="J14:J16">
    <cfRule type="cellIs" priority="3" dxfId="0" operator="equal" stopIfTrue="1">
      <formula>$D$26</formula>
    </cfRule>
  </conditionalFormatting>
  <conditionalFormatting sqref="J19:J21">
    <cfRule type="cellIs" priority="4" dxfId="0" operator="equal" stopIfTrue="1">
      <formula>$D$30</formula>
    </cfRule>
  </conditionalFormatting>
  <conditionalFormatting sqref="C61">
    <cfRule type="expression" priority="5" dxfId="0" stopIfTrue="1">
      <formula>$G$61&gt;0</formula>
    </cfRule>
  </conditionalFormatting>
  <conditionalFormatting sqref="C62">
    <cfRule type="expression" priority="6" dxfId="0" stopIfTrue="1">
      <formula>$G$62&gt;0</formula>
    </cfRule>
  </conditionalFormatting>
  <conditionalFormatting sqref="J31">
    <cfRule type="expression" priority="7" dxfId="0" stopIfTrue="1">
      <formula>$D$30=25</formula>
    </cfRule>
  </conditionalFormatting>
  <conditionalFormatting sqref="J32">
    <cfRule type="expression" priority="8" dxfId="0" stopIfTrue="1">
      <formula>$D$30=50</formula>
    </cfRule>
  </conditionalFormatting>
  <conditionalFormatting sqref="J33">
    <cfRule type="expression" priority="9" dxfId="0" stopIfTrue="1">
      <formula>$D$30=75</formula>
    </cfRule>
  </conditionalFormatting>
  <conditionalFormatting sqref="J46:J47">
    <cfRule type="cellIs" priority="10" dxfId="0" operator="equal" stopIfTrue="1">
      <formula>$D$46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T40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80.00390625" style="3" customWidth="1"/>
  </cols>
  <sheetData>
    <row r="1" s="1" customFormat="1" ht="12.75">
      <c r="A1" s="4"/>
    </row>
    <row r="2" s="1" customFormat="1" ht="12.75">
      <c r="A2" s="4"/>
    </row>
    <row r="3" s="1" customFormat="1" ht="12.75">
      <c r="A3" s="4"/>
    </row>
    <row r="4" s="1" customFormat="1" ht="12.75">
      <c r="A4" s="4"/>
    </row>
    <row r="5" s="1" customFormat="1" ht="12.75">
      <c r="A5" s="4"/>
    </row>
    <row r="6" s="1" customFormat="1" ht="12.75">
      <c r="A6" s="4"/>
    </row>
    <row r="7" s="1" customFormat="1" ht="12.75">
      <c r="A7" s="5"/>
    </row>
    <row r="8" s="1" customFormat="1" ht="12.75">
      <c r="A8" s="5"/>
    </row>
    <row r="9" spans="1:20" ht="12.75">
      <c r="A9" s="6" t="s">
        <v>141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7" t="s">
        <v>112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7" t="s">
        <v>142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8.5" customHeight="1">
      <c r="A13" s="7" t="s">
        <v>136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8.5" customHeight="1">
      <c r="A14" s="7" t="s">
        <v>120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7" t="s">
        <v>137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8.5" customHeight="1">
      <c r="A16" s="7" t="s">
        <v>121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8.5" customHeight="1">
      <c r="A17" s="7" t="s">
        <v>122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3.25" customHeight="1">
      <c r="A18" s="7" t="s">
        <v>123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8.5" customHeight="1">
      <c r="A19" s="7" t="s">
        <v>124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36.75" customHeight="1">
      <c r="A20" s="7" t="s">
        <v>138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8.5" customHeight="1">
      <c r="A21" s="7" t="s">
        <v>125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8.5" customHeight="1">
      <c r="A22" s="7" t="s">
        <v>126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7" t="s">
        <v>113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7" t="s">
        <v>139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8.5" customHeight="1">
      <c r="A26" s="7" t="s">
        <v>127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7" t="s">
        <v>134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7" t="s">
        <v>128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7" t="s">
        <v>129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8" t="s">
        <v>143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7" t="s">
        <v>130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7" t="s">
        <v>131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7" t="s">
        <v>132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8.5" customHeight="1">
      <c r="A34" s="7" t="s">
        <v>133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8.5" customHeight="1">
      <c r="A35" s="7" t="s">
        <v>114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</sheetData>
  <sheetProtection/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2008-09-10T12:20:06Z</cp:lastPrinted>
  <dcterms:created xsi:type="dcterms:W3CDTF">2006-04-10T08:55:06Z</dcterms:created>
  <dcterms:modified xsi:type="dcterms:W3CDTF">2014-06-27T08:05:03Z</dcterms:modified>
  <cp:category/>
  <cp:version/>
  <cp:contentType/>
  <cp:contentStatus/>
</cp:coreProperties>
</file>