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888" windowHeight="8976" tabRatio="852" activeTab="0"/>
  </bookViews>
  <sheets>
    <sheet name="Cultivador" sheetId="1" r:id="rId1"/>
    <sheet name="Metodología" sheetId="2" r:id="rId2"/>
  </sheets>
  <definedNames>
    <definedName name="_xlnm.Print_Area" localSheetId="0">'Cultivador'!$A$1:$K$69</definedName>
    <definedName name="_xlnm.Print_Area" localSheetId="1">'Metodología'!$A$1:$A$28</definedName>
    <definedName name="Z_039E3839_049A_4F05_9EAF_8C8ED138CC23_.wvu.Cols" localSheetId="0" hidden="1">'Cultivador'!$AD:$AD</definedName>
    <definedName name="Z_039E3839_049A_4F05_9EAF_8C8ED138CC23_.wvu.PrintArea" localSheetId="0" hidden="1">'Cultivador'!$A$9:$U$66</definedName>
  </definedNames>
  <calcPr fullCalcOnLoad="1"/>
</workbook>
</file>

<file path=xl/sharedStrings.xml><?xml version="1.0" encoding="utf-8"?>
<sst xmlns="http://schemas.openxmlformats.org/spreadsheetml/2006/main" count="221" uniqueCount="148">
  <si>
    <t>€</t>
  </si>
  <si>
    <t>kW</t>
  </si>
  <si>
    <t>horas</t>
  </si>
  <si>
    <t>%</t>
  </si>
  <si>
    <t>CV</t>
  </si>
  <si>
    <t>años</t>
  </si>
  <si>
    <t>€/L</t>
  </si>
  <si>
    <t>€/kW</t>
  </si>
  <si>
    <t>Seguros</t>
  </si>
  <si>
    <t>Consumo de combustible</t>
  </si>
  <si>
    <t>Resguardo</t>
  </si>
  <si>
    <t>L/h-kW</t>
  </si>
  <si>
    <t>L/h</t>
  </si>
  <si>
    <t>OPERACIÓN:</t>
  </si>
  <si>
    <t xml:space="preserve">APERO: </t>
  </si>
  <si>
    <t>Tipo suelo</t>
  </si>
  <si>
    <t>Ligero</t>
  </si>
  <si>
    <t>Medio</t>
  </si>
  <si>
    <t>Pesado</t>
  </si>
  <si>
    <t>Baja</t>
  </si>
  <si>
    <t>Media</t>
  </si>
  <si>
    <t>Alta</t>
  </si>
  <si>
    <t>Profundidad de trabajo</t>
  </si>
  <si>
    <t>cm</t>
  </si>
  <si>
    <t>Profundidad de trabajo (cm)</t>
  </si>
  <si>
    <t>Anchura apero</t>
  </si>
  <si>
    <t>m</t>
  </si>
  <si>
    <t>Peso apero</t>
  </si>
  <si>
    <t>kg</t>
  </si>
  <si>
    <t>Resistencia suelo</t>
  </si>
  <si>
    <t>Resist.específica (kPa)</t>
  </si>
  <si>
    <t>kPa</t>
  </si>
  <si>
    <t>Fuerza</t>
  </si>
  <si>
    <t>daN</t>
  </si>
  <si>
    <t>Velocidad de trabajo</t>
  </si>
  <si>
    <t>km/h</t>
  </si>
  <si>
    <t>Potencia de tracción</t>
  </si>
  <si>
    <t>h/ha</t>
  </si>
  <si>
    <t>Eficiencia</t>
  </si>
  <si>
    <t>ha/h</t>
  </si>
  <si>
    <t>Nivel de carga de trabajo (%)</t>
  </si>
  <si>
    <t>Potencia tractor necesaria</t>
  </si>
  <si>
    <t>Mediano</t>
  </si>
  <si>
    <t>Grande</t>
  </si>
  <si>
    <t>Muy grande</t>
  </si>
  <si>
    <t>Nivel potencia tractor (CV)</t>
  </si>
  <si>
    <t>Eficiencia de trabajo</t>
  </si>
  <si>
    <t>Consumo combustible</t>
  </si>
  <si>
    <t>Carga</t>
  </si>
  <si>
    <t>Consumo de aceite</t>
  </si>
  <si>
    <t>Precio adquisición</t>
  </si>
  <si>
    <t>amort. - desgaste</t>
  </si>
  <si>
    <t>amort. - obsolescencia</t>
  </si>
  <si>
    <t>interés</t>
  </si>
  <si>
    <t>seguros</t>
  </si>
  <si>
    <t>resguardo</t>
  </si>
  <si>
    <t>mantenim-reparaciones</t>
  </si>
  <si>
    <t>h</t>
  </si>
  <si>
    <t>% PA</t>
  </si>
  <si>
    <t>€/ha</t>
  </si>
  <si>
    <t>h/año</t>
  </si>
  <si>
    <t>€/h</t>
  </si>
  <si>
    <t>Coste total</t>
  </si>
  <si>
    <t>Horas trabajo anuales</t>
  </si>
  <si>
    <t>ha/año</t>
  </si>
  <si>
    <t>Tractor auxiliar</t>
  </si>
  <si>
    <t>RESULTADOS MAPA para 15 cm de profundidad media: De 4 L/ha a 10 L/ha según textura y prof trabajo</t>
  </si>
  <si>
    <t>Anchura apero (m)</t>
  </si>
  <si>
    <t>Nivel de carga del tractor</t>
  </si>
  <si>
    <t>Pequeño</t>
  </si>
  <si>
    <t>Coef. Reducc. Suelo suelto</t>
  </si>
  <si>
    <t>pot tractor CV</t>
  </si>
  <si>
    <t>nivel carga %</t>
  </si>
  <si>
    <t>pot utilizada</t>
  </si>
  <si>
    <t>vel km/h</t>
  </si>
  <si>
    <t>Prf trabajo (cm)</t>
  </si>
  <si>
    <t>medium soil</t>
  </si>
  <si>
    <t>fine soil</t>
  </si>
  <si>
    <t>coarse soil</t>
  </si>
  <si>
    <t>3 m</t>
  </si>
  <si>
    <t>Bajo</t>
  </si>
  <si>
    <t>Alto</t>
  </si>
  <si>
    <t>COSTES DE UTILIZACIÓN</t>
  </si>
  <si>
    <t>COSTES DE POSESIÓN</t>
  </si>
  <si>
    <t>ASAE field cultivator secondary</t>
  </si>
  <si>
    <t>13 dient</t>
  </si>
  <si>
    <t>21 dient</t>
  </si>
  <si>
    <t>Capacidad trabajo teórica</t>
  </si>
  <si>
    <t>Capacidad trabajo real</t>
  </si>
  <si>
    <t>Coste gasóleo</t>
  </si>
  <si>
    <t>Coste combustible</t>
  </si>
  <si>
    <t>L/ha</t>
  </si>
  <si>
    <t>F(daN)</t>
  </si>
  <si>
    <t>P(kW)</t>
  </si>
  <si>
    <t>anchura max (m)</t>
  </si>
  <si>
    <t>R suelo  kPa</t>
  </si>
  <si>
    <t>Factor (L/h-kW)</t>
  </si>
  <si>
    <t>v (km/h)</t>
  </si>
  <si>
    <t>Pot a la barra i/rod+desliz</t>
  </si>
  <si>
    <t>P barra i/rod+desliz</t>
  </si>
  <si>
    <t>Tipo de tractor escogido</t>
  </si>
  <si>
    <t>Potencia tractor escogido</t>
  </si>
  <si>
    <t>Alta (1.000 h/año)</t>
  </si>
  <si>
    <t>Baja (500 h/año)</t>
  </si>
  <si>
    <t>€/h s/comb</t>
  </si>
  <si>
    <t>Utilización anual</t>
  </si>
  <si>
    <t>Utilización apero (h/año)</t>
  </si>
  <si>
    <t>AUXILIAR</t>
  </si>
  <si>
    <t>kg/m</t>
  </si>
  <si>
    <t>€/m</t>
  </si>
  <si>
    <t>Mant.-Reparac</t>
  </si>
  <si>
    <t>Hipótesis tractor auxiliar</t>
  </si>
  <si>
    <t>Costes horarios tractor auxiliar  (€/h)</t>
  </si>
  <si>
    <t>€/h s/comb.</t>
  </si>
  <si>
    <t>Amortización</t>
  </si>
  <si>
    <t>Precio adquis.</t>
  </si>
  <si>
    <t>Tasa interés</t>
  </si>
  <si>
    <t>Cons.carga media</t>
  </si>
  <si>
    <t xml:space="preserve"> +combustible</t>
  </si>
  <si>
    <t>TRACTOR + APERO</t>
  </si>
  <si>
    <t>Los datos de partida de esta operación son los siguientes:</t>
  </si>
  <si>
    <t>Las hipótesis establecidas para el cálculo de los costes son las siguientes:</t>
  </si>
  <si>
    <t>Utilización anual apero: En función de las horas de trabajo anuales elegidas y de la capacidad de trabajo se obtiene la superficie anual trabajada por el apero en ha/año.</t>
  </si>
  <si>
    <t>Precio adquisición tractor</t>
  </si>
  <si>
    <t xml:space="preserve"> €/kW de potencia</t>
  </si>
  <si>
    <t>-          Peso del apero: Estimado en 200 kg/m</t>
  </si>
  <si>
    <t>-          Resistencia del suelo: A escoger según del tipo de suelo: ligero, medio o pesado</t>
  </si>
  <si>
    <t>-          Eficiencia de la operación: Baja, media o alta (se recomienda escoger alta para esta operación puesto que es la situación más habitual)</t>
  </si>
  <si>
    <t>-          Nivel de carga del tractor: Bajo, medio o alto (se recomienda coger medio para esta operación)</t>
  </si>
  <si>
    <t>-          Velocidad de trabajo: Es un valor tomado de las velocidades recomendadas de trabajo.</t>
  </si>
  <si>
    <t>-          Coeficiente de reducción por suelo suelto: Estimado en 0,3 por considerarse que el suelo se encuentra menos compactado tras las operaciones de laboreo primario.</t>
  </si>
  <si>
    <t>-          Potencia a la barra incluidos rodadura y deslizamiento: Es la potencia necesaria a la barra consideradas unas pérdidas por rodadura y deslizamiento del 25 %.</t>
  </si>
  <si>
    <t>-          Potencia del tractor escogido: Es la potencia del tractor seleccionado por el usuario en función de los resultados obtenidos.</t>
  </si>
  <si>
    <t>-          Horas de trabajo anuales: Se han estimado dos rangos diferentes de utilización del apero al año, baja (100 h/año) y alta (200 h/año)</t>
  </si>
  <si>
    <t>-          Amortización por desgaste: 3.000 h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</si>
  <si>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</si>
  <si>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</si>
  <si>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</si>
  <si>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-          Utilización anual tractor auxiliar: Se han estimado dos rangos diferentes de trabajo, 500 y 1.000 h/año.</t>
  </si>
  <si>
    <t>-          Coste de combustible: 1,00 €/L</t>
  </si>
  <si>
    <t>Vibrocultivador</t>
  </si>
  <si>
    <t xml:space="preserve">-          Profundidad de trabajo: Alta (10 cm) y baja (5 cm)      </t>
  </si>
  <si>
    <t>-          Precio de adquisición: Estimado en 2.500 €/m de anchura de trabajo</t>
  </si>
  <si>
    <t>-          Mantenimiento y reparaciones: 0,60 €/ha</t>
  </si>
  <si>
    <t>Preparación lecho de siembra - vibrocultivador</t>
  </si>
  <si>
    <t>-          Anchura apero: baja (3 m), media (4,5 m) y alta (7 m).</t>
  </si>
  <si>
    <t>Preparación lecho siembra</t>
  </si>
  <si>
    <t>-          Interés: 5 %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</si>
</sst>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#,##0.0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b/>
      <u val="single"/>
      <sz val="11"/>
      <color indexed="9"/>
      <name val="Arial"/>
      <family val="2"/>
    </font>
    <font>
      <sz val="11"/>
      <color indexed="22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42"/>
      <name val="Arial"/>
      <family val="2"/>
    </font>
    <font>
      <b/>
      <sz val="11"/>
      <color indexed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0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justify" wrapText="1"/>
    </xf>
    <xf numFmtId="0" fontId="0" fillId="33" borderId="0" xfId="0" applyFill="1" applyAlignment="1">
      <alignment horizontal="justify"/>
    </xf>
    <xf numFmtId="0" fontId="4" fillId="0" borderId="0" xfId="0" applyFont="1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49" fontId="5" fillId="34" borderId="0" xfId="0" applyNumberFormat="1" applyFont="1" applyFill="1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8" fillId="34" borderId="0" xfId="0" applyFont="1" applyFill="1" applyBorder="1" applyAlignment="1">
      <alignment horizontal="left" vertical="top" wrapText="1"/>
    </xf>
    <xf numFmtId="0" fontId="10" fillId="34" borderId="14" xfId="0" applyFont="1" applyFill="1" applyBorder="1" applyAlignment="1">
      <alignment/>
    </xf>
    <xf numFmtId="0" fontId="7" fillId="0" borderId="0" xfId="0" applyFont="1" applyBorder="1" applyAlignment="1" applyProtection="1">
      <alignment horizontal="center"/>
      <protection locked="0"/>
    </xf>
    <xf numFmtId="0" fontId="8" fillId="34" borderId="0" xfId="0" applyFont="1" applyFill="1" applyBorder="1" applyAlignment="1">
      <alignment vertical="top" wrapText="1"/>
    </xf>
    <xf numFmtId="0" fontId="6" fillId="34" borderId="0" xfId="0" applyFont="1" applyFill="1" applyBorder="1" applyAlignment="1">
      <alignment/>
    </xf>
    <xf numFmtId="0" fontId="6" fillId="33" borderId="11" xfId="0" applyFont="1" applyFill="1" applyBorder="1" applyAlignment="1" applyProtection="1">
      <alignment horizontal="center"/>
      <protection hidden="1"/>
    </xf>
    <xf numFmtId="0" fontId="8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164" fontId="6" fillId="33" borderId="0" xfId="0" applyNumberFormat="1" applyFont="1" applyFill="1" applyBorder="1" applyAlignment="1" applyProtection="1">
      <alignment horizontal="center"/>
      <protection hidden="1"/>
    </xf>
    <xf numFmtId="0" fontId="8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3" fontId="6" fillId="33" borderId="0" xfId="0" applyNumberFormat="1" applyFont="1" applyFill="1" applyBorder="1" applyAlignment="1" applyProtection="1">
      <alignment horizontal="center"/>
      <protection hidden="1"/>
    </xf>
    <xf numFmtId="0" fontId="11" fillId="33" borderId="0" xfId="0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76" fontId="7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" fontId="6" fillId="33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 vertical="center"/>
      <protection hidden="1"/>
    </xf>
    <xf numFmtId="0" fontId="11" fillId="33" borderId="15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hidden="1"/>
    </xf>
    <xf numFmtId="0" fontId="12" fillId="33" borderId="13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2" fontId="13" fillId="33" borderId="0" xfId="0" applyNumberFormat="1" applyFont="1" applyFill="1" applyBorder="1" applyAlignment="1" applyProtection="1">
      <alignment horizontal="center"/>
      <protection hidden="1"/>
    </xf>
    <xf numFmtId="0" fontId="12" fillId="33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176" fontId="7" fillId="0" borderId="0" xfId="0" applyNumberFormat="1" applyFont="1" applyBorder="1" applyAlignment="1" applyProtection="1">
      <alignment vertical="center"/>
      <protection hidden="1"/>
    </xf>
    <xf numFmtId="0" fontId="6" fillId="33" borderId="16" xfId="0" applyFont="1" applyFill="1" applyBorder="1" applyAlignment="1" applyProtection="1">
      <alignment horizontal="center"/>
      <protection hidden="1"/>
    </xf>
    <xf numFmtId="0" fontId="8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35" borderId="17" xfId="0" applyFont="1" applyFill="1" applyBorder="1" applyAlignment="1" applyProtection="1">
      <alignment horizontal="center"/>
      <protection hidden="1"/>
    </xf>
    <xf numFmtId="0" fontId="6" fillId="35" borderId="18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left"/>
    </xf>
    <xf numFmtId="2" fontId="7" fillId="0" borderId="0" xfId="0" applyNumberFormat="1" applyFont="1" applyBorder="1" applyAlignment="1">
      <alignment/>
    </xf>
    <xf numFmtId="165" fontId="6" fillId="33" borderId="0" xfId="0" applyNumberFormat="1" applyFont="1" applyFill="1" applyBorder="1" applyAlignment="1" applyProtection="1">
      <alignment horizontal="center"/>
      <protection hidden="1"/>
    </xf>
    <xf numFmtId="2" fontId="11" fillId="33" borderId="19" xfId="0" applyNumberFormat="1" applyFont="1" applyFill="1" applyBorder="1" applyAlignment="1" applyProtection="1">
      <alignment horizontal="center"/>
      <protection hidden="1" locked="0"/>
    </xf>
    <xf numFmtId="0" fontId="8" fillId="33" borderId="20" xfId="0" applyFont="1" applyFill="1" applyBorder="1" applyAlignment="1">
      <alignment horizontal="center"/>
    </xf>
    <xf numFmtId="164" fontId="13" fillId="33" borderId="0" xfId="0" applyNumberFormat="1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left"/>
    </xf>
    <xf numFmtId="0" fontId="12" fillId="33" borderId="16" xfId="0" applyFont="1" applyFill="1" applyBorder="1" applyAlignment="1">
      <alignment horizontal="left"/>
    </xf>
    <xf numFmtId="164" fontId="13" fillId="33" borderId="16" xfId="0" applyNumberFormat="1" applyFont="1" applyFill="1" applyBorder="1" applyAlignment="1" applyProtection="1">
      <alignment horizontal="center"/>
      <protection hidden="1"/>
    </xf>
    <xf numFmtId="0" fontId="12" fillId="33" borderId="2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165" fontId="6" fillId="33" borderId="15" xfId="0" applyNumberFormat="1" applyFont="1" applyFill="1" applyBorder="1" applyAlignment="1" applyProtection="1">
      <alignment horizontal="center"/>
      <protection/>
    </xf>
    <xf numFmtId="165" fontId="6" fillId="34" borderId="14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11" fillId="33" borderId="0" xfId="0" applyNumberFormat="1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>
      <alignment/>
    </xf>
    <xf numFmtId="165" fontId="6" fillId="34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center"/>
      <protection locked="0"/>
    </xf>
    <xf numFmtId="2" fontId="7" fillId="0" borderId="0" xfId="0" applyNumberFormat="1" applyFont="1" applyBorder="1" applyAlignment="1">
      <alignment horizontal="center"/>
    </xf>
    <xf numFmtId="3" fontId="11" fillId="33" borderId="0" xfId="0" applyNumberFormat="1" applyFont="1" applyFill="1" applyBorder="1" applyAlignment="1" applyProtection="1">
      <alignment horizontal="center"/>
      <protection hidden="1" locked="0"/>
    </xf>
    <xf numFmtId="0" fontId="6" fillId="34" borderId="15" xfId="0" applyFont="1" applyFill="1" applyBorder="1" applyAlignment="1">
      <alignment/>
    </xf>
    <xf numFmtId="0" fontId="11" fillId="33" borderId="0" xfId="0" applyFont="1" applyFill="1" applyBorder="1" applyAlignment="1" applyProtection="1">
      <alignment horizontal="center"/>
      <protection hidden="1" locked="0"/>
    </xf>
    <xf numFmtId="3" fontId="11" fillId="33" borderId="15" xfId="0" applyNumberFormat="1" applyFont="1" applyFill="1" applyBorder="1" applyAlignment="1" applyProtection="1">
      <alignment horizontal="center"/>
      <protection locked="0"/>
    </xf>
    <xf numFmtId="3" fontId="6" fillId="34" borderId="14" xfId="0" applyNumberFormat="1" applyFont="1" applyFill="1" applyBorder="1" applyAlignment="1">
      <alignment horizontal="center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/>
    </xf>
    <xf numFmtId="0" fontId="8" fillId="34" borderId="14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2" fontId="6" fillId="33" borderId="19" xfId="0" applyNumberFormat="1" applyFont="1" applyFill="1" applyBorder="1" applyAlignment="1" applyProtection="1">
      <alignment horizontal="center"/>
      <protection hidden="1"/>
    </xf>
    <xf numFmtId="0" fontId="8" fillId="33" borderId="20" xfId="0" applyFont="1" applyFill="1" applyBorder="1" applyAlignment="1">
      <alignment/>
    </xf>
    <xf numFmtId="3" fontId="8" fillId="34" borderId="14" xfId="0" applyNumberFormat="1" applyFont="1" applyFill="1" applyBorder="1" applyAlignment="1">
      <alignment horizontal="center"/>
    </xf>
    <xf numFmtId="0" fontId="12" fillId="33" borderId="23" xfId="0" applyFont="1" applyFill="1" applyBorder="1" applyAlignment="1">
      <alignment horizontal="left"/>
    </xf>
    <xf numFmtId="0" fontId="8" fillId="33" borderId="24" xfId="0" applyFont="1" applyFill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2" fontId="6" fillId="33" borderId="24" xfId="0" applyNumberFormat="1" applyFont="1" applyFill="1" applyBorder="1" applyAlignment="1" applyProtection="1">
      <alignment horizontal="center"/>
      <protection hidden="1"/>
    </xf>
    <xf numFmtId="0" fontId="8" fillId="33" borderId="25" xfId="0" applyFont="1" applyFill="1" applyBorder="1" applyAlignment="1">
      <alignment/>
    </xf>
    <xf numFmtId="0" fontId="8" fillId="33" borderId="15" xfId="0" applyFont="1" applyFill="1" applyBorder="1" applyAlignment="1">
      <alignment horizontal="center"/>
    </xf>
    <xf numFmtId="3" fontId="8" fillId="33" borderId="15" xfId="0" applyNumberFormat="1" applyFont="1" applyFill="1" applyBorder="1" applyAlignment="1" applyProtection="1">
      <alignment horizontal="center"/>
      <protection hidden="1"/>
    </xf>
    <xf numFmtId="1" fontId="8" fillId="34" borderId="14" xfId="0" applyNumberFormat="1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33" borderId="16" xfId="0" applyFont="1" applyFill="1" applyBorder="1" applyAlignment="1">
      <alignment horizontal="center"/>
    </xf>
    <xf numFmtId="2" fontId="12" fillId="33" borderId="16" xfId="0" applyNumberFormat="1" applyFont="1" applyFill="1" applyBorder="1" applyAlignment="1">
      <alignment horizontal="center"/>
    </xf>
    <xf numFmtId="0" fontId="12" fillId="33" borderId="22" xfId="0" applyFont="1" applyFill="1" applyBorder="1" applyAlignment="1">
      <alignment/>
    </xf>
    <xf numFmtId="2" fontId="8" fillId="33" borderId="15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164" fontId="7" fillId="0" borderId="0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 hidden="1"/>
    </xf>
    <xf numFmtId="0" fontId="6" fillId="34" borderId="17" xfId="0" applyFont="1" applyFill="1" applyBorder="1" applyAlignment="1">
      <alignment/>
    </xf>
    <xf numFmtId="0" fontId="8" fillId="34" borderId="0" xfId="0" applyFont="1" applyFill="1" applyBorder="1" applyAlignment="1">
      <alignment horizontal="right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12" fillId="34" borderId="0" xfId="0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 applyProtection="1">
      <alignment horizontal="center" vertical="center"/>
      <protection hidden="1"/>
    </xf>
    <xf numFmtId="2" fontId="8" fillId="33" borderId="15" xfId="0" applyNumberFormat="1" applyFont="1" applyFill="1" applyBorder="1" applyAlignment="1" applyProtection="1">
      <alignment horizontal="center" vertical="center"/>
      <protection hidden="1"/>
    </xf>
    <xf numFmtId="0" fontId="15" fillId="34" borderId="0" xfId="0" applyFont="1" applyFill="1" applyBorder="1" applyAlignment="1" applyProtection="1">
      <alignment/>
      <protection hidden="1"/>
    </xf>
    <xf numFmtId="0" fontId="16" fillId="0" borderId="15" xfId="0" applyFont="1" applyBorder="1" applyAlignment="1">
      <alignment horizontal="right"/>
    </xf>
    <xf numFmtId="0" fontId="6" fillId="0" borderId="15" xfId="0" applyFont="1" applyFill="1" applyBorder="1" applyAlignment="1">
      <alignment horizontal="left"/>
    </xf>
    <xf numFmtId="0" fontId="7" fillId="34" borderId="0" xfId="0" applyFont="1" applyFill="1" applyBorder="1" applyAlignment="1" applyProtection="1">
      <alignment/>
      <protection hidden="1"/>
    </xf>
    <xf numFmtId="2" fontId="13" fillId="34" borderId="0" xfId="0" applyNumberFormat="1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 wrapText="1"/>
    </xf>
    <xf numFmtId="3" fontId="6" fillId="33" borderId="15" xfId="0" applyNumberFormat="1" applyFont="1" applyFill="1" applyBorder="1" applyAlignment="1" applyProtection="1">
      <alignment horizontal="center" vertical="center"/>
      <protection hidden="1"/>
    </xf>
    <xf numFmtId="0" fontId="12" fillId="34" borderId="0" xfId="0" applyFont="1" applyFill="1" applyBorder="1" applyAlignment="1">
      <alignment horizontal="right"/>
    </xf>
    <xf numFmtId="2" fontId="13" fillId="34" borderId="0" xfId="0" applyNumberFormat="1" applyFont="1" applyFill="1" applyBorder="1" applyAlignment="1">
      <alignment horizontal="center"/>
    </xf>
    <xf numFmtId="0" fontId="6" fillId="34" borderId="21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2" fontId="13" fillId="34" borderId="16" xfId="0" applyNumberFormat="1" applyFont="1" applyFill="1" applyBorder="1" applyAlignment="1">
      <alignment horizontal="center"/>
    </xf>
    <xf numFmtId="0" fontId="12" fillId="34" borderId="16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22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176" fontId="7" fillId="0" borderId="0" xfId="0" applyNumberFormat="1" applyFont="1" applyBorder="1" applyAlignment="1" applyProtection="1">
      <alignment horizontal="center" vertical="center"/>
      <protection hidden="1"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26" xfId="0" applyFont="1" applyFill="1" applyBorder="1" applyAlignment="1">
      <alignment horizontal="right"/>
    </xf>
    <xf numFmtId="0" fontId="8" fillId="33" borderId="19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left"/>
    </xf>
    <xf numFmtId="0" fontId="8" fillId="35" borderId="17" xfId="0" applyFont="1" applyFill="1" applyBorder="1" applyAlignment="1">
      <alignment horizontal="left"/>
    </xf>
    <xf numFmtId="0" fontId="8" fillId="33" borderId="26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2" fillId="33" borderId="13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center" wrapText="1"/>
    </xf>
    <xf numFmtId="1" fontId="7" fillId="0" borderId="0" xfId="0" applyNumberFormat="1" applyFont="1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>
      <alignment horizontal="left" vertical="top" wrapText="1"/>
    </xf>
    <xf numFmtId="0" fontId="8" fillId="33" borderId="27" xfId="0" applyFont="1" applyFill="1" applyBorder="1" applyAlignment="1" applyProtection="1">
      <alignment horizontal="center"/>
      <protection hidden="1"/>
    </xf>
    <xf numFmtId="0" fontId="8" fillId="33" borderId="18" xfId="0" applyFont="1" applyFill="1" applyBorder="1" applyAlignment="1" applyProtection="1">
      <alignment horizontal="center"/>
      <protection hidden="1"/>
    </xf>
    <xf numFmtId="0" fontId="6" fillId="33" borderId="2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left"/>
    </xf>
    <xf numFmtId="0" fontId="7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33" borderId="2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14" fillId="36" borderId="27" xfId="0" applyFont="1" applyFill="1" applyBorder="1" applyAlignment="1">
      <alignment horizontal="center"/>
    </xf>
    <xf numFmtId="0" fontId="14" fillId="36" borderId="18" xfId="0" applyFont="1" applyFill="1" applyBorder="1" applyAlignment="1">
      <alignment horizontal="center"/>
    </xf>
    <xf numFmtId="2" fontId="14" fillId="36" borderId="27" xfId="0" applyNumberFormat="1" applyFont="1" applyFill="1" applyBorder="1" applyAlignment="1" applyProtection="1">
      <alignment horizontal="center" vertical="center"/>
      <protection hidden="1"/>
    </xf>
    <xf numFmtId="2" fontId="14" fillId="36" borderId="18" xfId="0" applyNumberFormat="1" applyFont="1" applyFill="1" applyBorder="1" applyAlignment="1" applyProtection="1">
      <alignment horizontal="center" vertical="center"/>
      <protection hidden="1"/>
    </xf>
    <xf numFmtId="0" fontId="8" fillId="33" borderId="15" xfId="0" applyFont="1" applyFill="1" applyBorder="1" applyAlignment="1">
      <alignment horizontal="left"/>
    </xf>
    <xf numFmtId="0" fontId="6" fillId="33" borderId="15" xfId="0" applyFont="1" applyFill="1" applyBorder="1" applyAlignment="1" applyProtection="1">
      <alignment horizontal="center"/>
      <protection/>
    </xf>
    <xf numFmtId="0" fontId="8" fillId="37" borderId="27" xfId="0" applyFont="1" applyFill="1" applyBorder="1" applyAlignment="1">
      <alignment horizontal="center"/>
    </xf>
    <xf numFmtId="0" fontId="8" fillId="37" borderId="17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0" fontId="14" fillId="36" borderId="1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4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Relationship Id="rId2" Type="http://schemas.openxmlformats.org/officeDocument/2006/relationships/image" Target="../media/image9.emf" /><Relationship Id="rId3" Type="http://schemas.openxmlformats.org/officeDocument/2006/relationships/image" Target="../media/image19.emf" /><Relationship Id="rId4" Type="http://schemas.openxmlformats.org/officeDocument/2006/relationships/image" Target="../media/image23.emf" /><Relationship Id="rId5" Type="http://schemas.openxmlformats.org/officeDocument/2006/relationships/image" Target="../media/image5.emf" /><Relationship Id="rId6" Type="http://schemas.openxmlformats.org/officeDocument/2006/relationships/image" Target="../media/image14.emf" /><Relationship Id="rId7" Type="http://schemas.openxmlformats.org/officeDocument/2006/relationships/image" Target="../media/image15.emf" /><Relationship Id="rId8" Type="http://schemas.openxmlformats.org/officeDocument/2006/relationships/image" Target="../media/image16.emf" /><Relationship Id="rId9" Type="http://schemas.openxmlformats.org/officeDocument/2006/relationships/image" Target="../media/image8.emf" /><Relationship Id="rId10" Type="http://schemas.openxmlformats.org/officeDocument/2006/relationships/image" Target="../media/image20.emf" /><Relationship Id="rId11" Type="http://schemas.openxmlformats.org/officeDocument/2006/relationships/image" Target="../media/image7.emf" /><Relationship Id="rId12" Type="http://schemas.openxmlformats.org/officeDocument/2006/relationships/image" Target="../media/image3.emf" /><Relationship Id="rId13" Type="http://schemas.openxmlformats.org/officeDocument/2006/relationships/image" Target="../media/image17.emf" /><Relationship Id="rId14" Type="http://schemas.openxmlformats.org/officeDocument/2006/relationships/image" Target="../media/image2.emf" /><Relationship Id="rId15" Type="http://schemas.openxmlformats.org/officeDocument/2006/relationships/image" Target="../media/image18.emf" /><Relationship Id="rId16" Type="http://schemas.openxmlformats.org/officeDocument/2006/relationships/image" Target="../media/image6.emf" /><Relationship Id="rId17" Type="http://schemas.openxmlformats.org/officeDocument/2006/relationships/image" Target="../media/image11.emf" /><Relationship Id="rId18" Type="http://schemas.openxmlformats.org/officeDocument/2006/relationships/image" Target="../media/image1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0.emf" /><Relationship Id="rId22" Type="http://schemas.openxmlformats.org/officeDocument/2006/relationships/image" Target="../media/image21.emf" /><Relationship Id="rId23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8</xdr:row>
      <xdr:rowOff>9525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91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13</xdr:row>
      <xdr:rowOff>0</xdr:rowOff>
    </xdr:from>
    <xdr:to>
      <xdr:col>7</xdr:col>
      <xdr:colOff>276225</xdr:colOff>
      <xdr:row>13</xdr:row>
      <xdr:rowOff>142875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047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14</xdr:row>
      <xdr:rowOff>9525</xdr:rowOff>
    </xdr:from>
    <xdr:to>
      <xdr:col>7</xdr:col>
      <xdr:colOff>266700</xdr:colOff>
      <xdr:row>14</xdr:row>
      <xdr:rowOff>142875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95800" y="22669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15</xdr:row>
      <xdr:rowOff>19050</xdr:rowOff>
    </xdr:from>
    <xdr:to>
      <xdr:col>7</xdr:col>
      <xdr:colOff>257175</xdr:colOff>
      <xdr:row>15</xdr:row>
      <xdr:rowOff>142875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86275" y="2486025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18</xdr:row>
      <xdr:rowOff>38100</xdr:rowOff>
    </xdr:from>
    <xdr:to>
      <xdr:col>7</xdr:col>
      <xdr:colOff>276225</xdr:colOff>
      <xdr:row>19</xdr:row>
      <xdr:rowOff>19050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95800" y="31337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19</xdr:row>
      <xdr:rowOff>47625</xdr:rowOff>
    </xdr:from>
    <xdr:to>
      <xdr:col>7</xdr:col>
      <xdr:colOff>266700</xdr:colOff>
      <xdr:row>20</xdr:row>
      <xdr:rowOff>9525</xdr:rowOff>
    </xdr:to>
    <xdr:pic>
      <xdr:nvPicPr>
        <xdr:cNvPr id="6" name="Option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95800" y="33528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27</xdr:row>
      <xdr:rowOff>28575</xdr:rowOff>
    </xdr:from>
    <xdr:to>
      <xdr:col>7</xdr:col>
      <xdr:colOff>266700</xdr:colOff>
      <xdr:row>28</xdr:row>
      <xdr:rowOff>9525</xdr:rowOff>
    </xdr:to>
    <xdr:pic>
      <xdr:nvPicPr>
        <xdr:cNvPr id="7" name="Option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86275" y="5010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28</xdr:row>
      <xdr:rowOff>38100</xdr:rowOff>
    </xdr:from>
    <xdr:to>
      <xdr:col>7</xdr:col>
      <xdr:colOff>266700</xdr:colOff>
      <xdr:row>29</xdr:row>
      <xdr:rowOff>19050</xdr:rowOff>
    </xdr:to>
    <xdr:pic>
      <xdr:nvPicPr>
        <xdr:cNvPr id="8" name="Option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86275" y="52292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29</xdr:row>
      <xdr:rowOff>28575</xdr:rowOff>
    </xdr:from>
    <xdr:to>
      <xdr:col>7</xdr:col>
      <xdr:colOff>266700</xdr:colOff>
      <xdr:row>30</xdr:row>
      <xdr:rowOff>9525</xdr:rowOff>
    </xdr:to>
    <xdr:pic>
      <xdr:nvPicPr>
        <xdr:cNvPr id="9" name="OptionButton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86275" y="54292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32</xdr:row>
      <xdr:rowOff>19050</xdr:rowOff>
    </xdr:from>
    <xdr:to>
      <xdr:col>7</xdr:col>
      <xdr:colOff>257175</xdr:colOff>
      <xdr:row>33</xdr:row>
      <xdr:rowOff>0</xdr:rowOff>
    </xdr:to>
    <xdr:pic>
      <xdr:nvPicPr>
        <xdr:cNvPr id="10" name="OptionButton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76750" y="60483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33</xdr:row>
      <xdr:rowOff>0</xdr:rowOff>
    </xdr:from>
    <xdr:to>
      <xdr:col>7</xdr:col>
      <xdr:colOff>257175</xdr:colOff>
      <xdr:row>33</xdr:row>
      <xdr:rowOff>142875</xdr:rowOff>
    </xdr:to>
    <xdr:pic>
      <xdr:nvPicPr>
        <xdr:cNvPr id="11" name="OptionButton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76750" y="6238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34</xdr:row>
      <xdr:rowOff>9525</xdr:rowOff>
    </xdr:from>
    <xdr:to>
      <xdr:col>7</xdr:col>
      <xdr:colOff>247650</xdr:colOff>
      <xdr:row>34</xdr:row>
      <xdr:rowOff>142875</xdr:rowOff>
    </xdr:to>
    <xdr:pic>
      <xdr:nvPicPr>
        <xdr:cNvPr id="12" name="OptionButton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467225" y="64579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22</xdr:row>
      <xdr:rowOff>38100</xdr:rowOff>
    </xdr:from>
    <xdr:to>
      <xdr:col>7</xdr:col>
      <xdr:colOff>276225</xdr:colOff>
      <xdr:row>23</xdr:row>
      <xdr:rowOff>19050</xdr:rowOff>
    </xdr:to>
    <xdr:pic>
      <xdr:nvPicPr>
        <xdr:cNvPr id="13" name="OptionButton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95800" y="39719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23</xdr:row>
      <xdr:rowOff>28575</xdr:rowOff>
    </xdr:from>
    <xdr:to>
      <xdr:col>7</xdr:col>
      <xdr:colOff>266700</xdr:colOff>
      <xdr:row>24</xdr:row>
      <xdr:rowOff>9525</xdr:rowOff>
    </xdr:to>
    <xdr:pic>
      <xdr:nvPicPr>
        <xdr:cNvPr id="14" name="OptionButton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95800" y="41719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24</xdr:row>
      <xdr:rowOff>47625</xdr:rowOff>
    </xdr:from>
    <xdr:to>
      <xdr:col>7</xdr:col>
      <xdr:colOff>257175</xdr:colOff>
      <xdr:row>25</xdr:row>
      <xdr:rowOff>9525</xdr:rowOff>
    </xdr:to>
    <xdr:pic>
      <xdr:nvPicPr>
        <xdr:cNvPr id="15" name="OptionButton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86275" y="44005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37</xdr:row>
      <xdr:rowOff>19050</xdr:rowOff>
    </xdr:from>
    <xdr:to>
      <xdr:col>7</xdr:col>
      <xdr:colOff>209550</xdr:colOff>
      <xdr:row>37</xdr:row>
      <xdr:rowOff>161925</xdr:rowOff>
    </xdr:to>
    <xdr:pic>
      <xdr:nvPicPr>
        <xdr:cNvPr id="16" name="OptionButton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29125" y="7096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38</xdr:row>
      <xdr:rowOff>9525</xdr:rowOff>
    </xdr:from>
    <xdr:to>
      <xdr:col>7</xdr:col>
      <xdr:colOff>209550</xdr:colOff>
      <xdr:row>38</xdr:row>
      <xdr:rowOff>142875</xdr:rowOff>
    </xdr:to>
    <xdr:pic>
      <xdr:nvPicPr>
        <xdr:cNvPr id="17" name="OptionButton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29125" y="72961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39</xdr:row>
      <xdr:rowOff>9525</xdr:rowOff>
    </xdr:from>
    <xdr:to>
      <xdr:col>7</xdr:col>
      <xdr:colOff>209550</xdr:colOff>
      <xdr:row>39</xdr:row>
      <xdr:rowOff>142875</xdr:rowOff>
    </xdr:to>
    <xdr:pic>
      <xdr:nvPicPr>
        <xdr:cNvPr id="18" name="OptionButton1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429125" y="7505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40</xdr:row>
      <xdr:rowOff>9525</xdr:rowOff>
    </xdr:from>
    <xdr:to>
      <xdr:col>7</xdr:col>
      <xdr:colOff>209550</xdr:colOff>
      <xdr:row>40</xdr:row>
      <xdr:rowOff>142875</xdr:rowOff>
    </xdr:to>
    <xdr:pic>
      <xdr:nvPicPr>
        <xdr:cNvPr id="19" name="OptionButton1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29125" y="7715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60</xdr:row>
      <xdr:rowOff>28575</xdr:rowOff>
    </xdr:from>
    <xdr:to>
      <xdr:col>1</xdr:col>
      <xdr:colOff>257175</xdr:colOff>
      <xdr:row>61</xdr:row>
      <xdr:rowOff>9525</xdr:rowOff>
    </xdr:to>
    <xdr:pic>
      <xdr:nvPicPr>
        <xdr:cNvPr id="20" name="OptionButton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14325" y="1192530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61</xdr:row>
      <xdr:rowOff>28575</xdr:rowOff>
    </xdr:from>
    <xdr:to>
      <xdr:col>1</xdr:col>
      <xdr:colOff>257175</xdr:colOff>
      <xdr:row>62</xdr:row>
      <xdr:rowOff>9525</xdr:rowOff>
    </xdr:to>
    <xdr:pic>
      <xdr:nvPicPr>
        <xdr:cNvPr id="21" name="OptionButton1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14325" y="121348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49</xdr:row>
      <xdr:rowOff>9525</xdr:rowOff>
    </xdr:from>
    <xdr:to>
      <xdr:col>7</xdr:col>
      <xdr:colOff>247650</xdr:colOff>
      <xdr:row>50</xdr:row>
      <xdr:rowOff>0</xdr:rowOff>
    </xdr:to>
    <xdr:pic>
      <xdr:nvPicPr>
        <xdr:cNvPr id="22" name="OptionButton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467225" y="9601200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50</xdr:row>
      <xdr:rowOff>28575</xdr:rowOff>
    </xdr:from>
    <xdr:to>
      <xdr:col>7</xdr:col>
      <xdr:colOff>247650</xdr:colOff>
      <xdr:row>51</xdr:row>
      <xdr:rowOff>9525</xdr:rowOff>
    </xdr:to>
    <xdr:pic>
      <xdr:nvPicPr>
        <xdr:cNvPr id="23" name="OptionButton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467225" y="98298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5286375</xdr:colOff>
      <xdr:row>0</xdr:row>
      <xdr:rowOff>1085850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86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9:AD77"/>
  <sheetViews>
    <sheetView showZeros="0" tabSelected="1" zoomScalePageLayoutView="0" workbookViewId="0" topLeftCell="A1">
      <selection activeCell="I13" sqref="I13"/>
    </sheetView>
  </sheetViews>
  <sheetFormatPr defaultColWidth="11.421875" defaultRowHeight="12.75"/>
  <cols>
    <col min="1" max="1" width="2.8515625" style="8" customWidth="1"/>
    <col min="2" max="2" width="5.421875" style="8" customWidth="1"/>
    <col min="3" max="3" width="25.00390625" style="8" customWidth="1"/>
    <col min="4" max="4" width="12.00390625" style="9" customWidth="1"/>
    <col min="5" max="5" width="6.57421875" style="9" customWidth="1"/>
    <col min="6" max="6" width="7.00390625" style="8" customWidth="1"/>
    <col min="7" max="7" width="6.57421875" style="10" customWidth="1"/>
    <col min="8" max="8" width="4.140625" style="8" customWidth="1"/>
    <col min="9" max="9" width="10.7109375" style="8" customWidth="1"/>
    <col min="10" max="10" width="21.8515625" style="8" customWidth="1"/>
    <col min="11" max="12" width="5.7109375" style="8" customWidth="1"/>
    <col min="13" max="13" width="15.7109375" style="11" hidden="1" customWidth="1"/>
    <col min="14" max="14" width="7.57421875" style="11" hidden="1" customWidth="1"/>
    <col min="15" max="15" width="8.140625" style="11" hidden="1" customWidth="1"/>
    <col min="16" max="16" width="10.421875" style="11" hidden="1" customWidth="1"/>
    <col min="17" max="17" width="7.140625" style="11" hidden="1" customWidth="1"/>
    <col min="18" max="18" width="10.421875" style="11" hidden="1" customWidth="1"/>
    <col min="19" max="19" width="9.57421875" style="11" customWidth="1"/>
    <col min="20" max="20" width="11.421875" style="11" customWidth="1"/>
    <col min="21" max="22" width="6.57421875" style="11" customWidth="1"/>
    <col min="23" max="24" width="9.28125" style="11" customWidth="1"/>
    <col min="25" max="26" width="8.8515625" style="11" customWidth="1"/>
    <col min="27" max="28" width="11.421875" style="11" customWidth="1"/>
    <col min="29" max="29" width="4.8515625" style="11" customWidth="1"/>
    <col min="30" max="30" width="11.421875" style="12" hidden="1" customWidth="1"/>
    <col min="31" max="45" width="11.421875" style="11" customWidth="1"/>
    <col min="46" max="16384" width="11.57421875" style="8" customWidth="1"/>
  </cols>
  <sheetData>
    <row r="1" ht="14.25"/>
    <row r="2" ht="11.25" customHeight="1"/>
    <row r="3" ht="14.25"/>
    <row r="4" ht="12" customHeight="1"/>
    <row r="5" ht="10.5" customHeight="1"/>
    <row r="6" ht="10.5" customHeight="1"/>
    <row r="7" ht="10.5" customHeight="1"/>
    <row r="8" ht="7.5" customHeight="1"/>
    <row r="9" spans="1:11" ht="14.25">
      <c r="A9" s="13"/>
      <c r="B9" s="14"/>
      <c r="C9" s="14"/>
      <c r="D9" s="15"/>
      <c r="E9" s="15"/>
      <c r="F9" s="14"/>
      <c r="G9" s="14"/>
      <c r="H9" s="14"/>
      <c r="I9" s="14"/>
      <c r="J9" s="14"/>
      <c r="K9" s="16"/>
    </row>
    <row r="10" spans="1:29" ht="12.75" customHeight="1">
      <c r="A10" s="17"/>
      <c r="B10" s="18"/>
      <c r="C10" s="19" t="s">
        <v>13</v>
      </c>
      <c r="D10" s="20" t="s">
        <v>146</v>
      </c>
      <c r="E10" s="21"/>
      <c r="F10" s="22"/>
      <c r="G10" s="22"/>
      <c r="H10" s="18"/>
      <c r="I10" s="18"/>
      <c r="J10" s="18"/>
      <c r="K10" s="23"/>
      <c r="M10" s="192" t="s">
        <v>107</v>
      </c>
      <c r="N10" s="193"/>
      <c r="AC10" s="24"/>
    </row>
    <row r="11" spans="1:30" ht="13.5" customHeight="1">
      <c r="A11" s="17"/>
      <c r="B11" s="18"/>
      <c r="C11" s="19" t="s">
        <v>14</v>
      </c>
      <c r="D11" s="183" t="s">
        <v>140</v>
      </c>
      <c r="E11" s="183"/>
      <c r="F11" s="183"/>
      <c r="G11" s="183"/>
      <c r="H11" s="183"/>
      <c r="I11" s="18"/>
      <c r="J11" s="18"/>
      <c r="K11" s="26"/>
      <c r="AD11" s="27" t="b">
        <v>0</v>
      </c>
    </row>
    <row r="12" spans="1:30" ht="13.5">
      <c r="A12" s="17"/>
      <c r="B12" s="18"/>
      <c r="C12" s="18"/>
      <c r="D12" s="28"/>
      <c r="E12" s="28"/>
      <c r="F12" s="28"/>
      <c r="G12" s="25"/>
      <c r="H12" s="29"/>
      <c r="I12" s="18"/>
      <c r="J12" s="18"/>
      <c r="K12" s="26"/>
      <c r="AD12" s="27" t="b">
        <v>1</v>
      </c>
    </row>
    <row r="13" spans="1:30" ht="16.5" customHeight="1">
      <c r="A13" s="17"/>
      <c r="B13" s="176" t="s">
        <v>22</v>
      </c>
      <c r="C13" s="177"/>
      <c r="D13" s="30">
        <f>IF(AD16=TRUE,J19,IF(AD17=TRUE,J20))</f>
        <v>10</v>
      </c>
      <c r="E13" s="31" t="s">
        <v>23</v>
      </c>
      <c r="F13" s="32"/>
      <c r="G13" s="33"/>
      <c r="H13" s="29"/>
      <c r="I13" s="34" t="s">
        <v>15</v>
      </c>
      <c r="J13" s="35" t="s">
        <v>30</v>
      </c>
      <c r="K13" s="36"/>
      <c r="AD13" s="12" t="b">
        <v>0</v>
      </c>
    </row>
    <row r="14" spans="1:11" ht="16.5" customHeight="1">
      <c r="A14" s="17"/>
      <c r="B14" s="160" t="s">
        <v>25</v>
      </c>
      <c r="C14" s="161"/>
      <c r="D14" s="37">
        <f>IF(AD20=TRUE,J23,IF(AD21=TRUE,J24,IF(AD22=TRUE,J25)))</f>
        <v>4.5</v>
      </c>
      <c r="E14" s="38" t="s">
        <v>26</v>
      </c>
      <c r="F14" s="39"/>
      <c r="G14" s="40"/>
      <c r="H14" s="41"/>
      <c r="I14" s="34" t="s">
        <v>16</v>
      </c>
      <c r="J14" s="35">
        <v>40</v>
      </c>
      <c r="K14" s="36"/>
    </row>
    <row r="15" spans="1:11" ht="16.5" customHeight="1">
      <c r="A15" s="17"/>
      <c r="B15" s="160" t="s">
        <v>27</v>
      </c>
      <c r="C15" s="161"/>
      <c r="D15" s="42">
        <f>F15*D14</f>
        <v>900</v>
      </c>
      <c r="E15" s="38" t="s">
        <v>28</v>
      </c>
      <c r="F15" s="43">
        <v>200</v>
      </c>
      <c r="G15" s="44" t="s">
        <v>108</v>
      </c>
      <c r="H15" s="41"/>
      <c r="I15" s="34" t="s">
        <v>17</v>
      </c>
      <c r="J15" s="35">
        <v>60</v>
      </c>
      <c r="K15" s="36"/>
    </row>
    <row r="16" spans="1:30" ht="16.5" customHeight="1">
      <c r="A16" s="17"/>
      <c r="B16" s="45"/>
      <c r="C16" s="46"/>
      <c r="D16" s="47"/>
      <c r="E16" s="48"/>
      <c r="F16" s="39"/>
      <c r="G16" s="40"/>
      <c r="H16" s="41"/>
      <c r="I16" s="34" t="s">
        <v>18</v>
      </c>
      <c r="J16" s="35">
        <v>80</v>
      </c>
      <c r="K16" s="36"/>
      <c r="AD16" s="12" t="b">
        <v>0</v>
      </c>
    </row>
    <row r="17" spans="1:30" ht="16.5" customHeight="1">
      <c r="A17" s="17"/>
      <c r="B17" s="160" t="s">
        <v>29</v>
      </c>
      <c r="C17" s="161"/>
      <c r="D17" s="47">
        <f>IF(AD11=TRUE,J14,IF(AD12=TRUE,J15,IF(AD13=TRUE,J16)))</f>
        <v>60</v>
      </c>
      <c r="E17" s="38" t="s">
        <v>31</v>
      </c>
      <c r="F17" s="39"/>
      <c r="G17" s="40"/>
      <c r="H17" s="29"/>
      <c r="I17" s="18"/>
      <c r="J17" s="18"/>
      <c r="K17" s="23"/>
      <c r="AD17" s="12" t="b">
        <v>1</v>
      </c>
    </row>
    <row r="18" spans="1:13" ht="16.5" customHeight="1">
      <c r="A18" s="17"/>
      <c r="B18" s="160" t="s">
        <v>70</v>
      </c>
      <c r="C18" s="161"/>
      <c r="D18" s="47">
        <v>0.3</v>
      </c>
      <c r="E18" s="38"/>
      <c r="F18" s="39"/>
      <c r="G18" s="40"/>
      <c r="H18" s="29"/>
      <c r="I18" s="186" t="s">
        <v>24</v>
      </c>
      <c r="J18" s="187"/>
      <c r="K18" s="36"/>
      <c r="M18" s="24"/>
    </row>
    <row r="19" spans="1:18" ht="16.5" customHeight="1">
      <c r="A19" s="17"/>
      <c r="B19" s="160" t="s">
        <v>32</v>
      </c>
      <c r="C19" s="161"/>
      <c r="D19" s="42">
        <f>D17*D18*D13*0.1*D14*10</f>
        <v>810</v>
      </c>
      <c r="E19" s="38" t="s">
        <v>33</v>
      </c>
      <c r="F19" s="39"/>
      <c r="G19" s="40"/>
      <c r="H19" s="41"/>
      <c r="I19" s="34" t="s">
        <v>19</v>
      </c>
      <c r="J19" s="35">
        <v>5</v>
      </c>
      <c r="K19" s="36"/>
      <c r="M19" s="171" t="s">
        <v>84</v>
      </c>
      <c r="N19" s="172" t="s">
        <v>78</v>
      </c>
      <c r="O19" s="24" t="s">
        <v>85</v>
      </c>
      <c r="P19" s="24" t="s">
        <v>92</v>
      </c>
      <c r="Q19" s="24" t="s">
        <v>97</v>
      </c>
      <c r="R19" s="11" t="s">
        <v>93</v>
      </c>
    </row>
    <row r="20" spans="1:30" ht="16.5" customHeight="1">
      <c r="A20" s="17"/>
      <c r="B20" s="160" t="s">
        <v>34</v>
      </c>
      <c r="C20" s="161"/>
      <c r="D20" s="47">
        <v>8</v>
      </c>
      <c r="E20" s="38" t="s">
        <v>35</v>
      </c>
      <c r="F20" s="39"/>
      <c r="G20" s="40"/>
      <c r="H20" s="41"/>
      <c r="I20" s="34" t="s">
        <v>21</v>
      </c>
      <c r="J20" s="35">
        <v>10</v>
      </c>
      <c r="K20" s="36"/>
      <c r="M20" s="171"/>
      <c r="N20" s="172"/>
      <c r="O20" s="24" t="str">
        <f>CONCATENATE(D$13," cm")</f>
        <v>10 cm</v>
      </c>
      <c r="P20" s="159">
        <f>(32+1.9*D$20)*0.65*13*D$13/10</f>
        <v>398.84000000000003</v>
      </c>
      <c r="Q20" s="182">
        <f>D$20</f>
        <v>8</v>
      </c>
      <c r="R20" s="189">
        <f>P20*10*D$20/3600</f>
        <v>8.863111111111113</v>
      </c>
      <c r="AD20" s="12" t="b">
        <v>0</v>
      </c>
    </row>
    <row r="21" spans="1:30" ht="16.5" customHeight="1">
      <c r="A21" s="17"/>
      <c r="B21" s="160" t="s">
        <v>36</v>
      </c>
      <c r="C21" s="161"/>
      <c r="D21" s="52">
        <f>D19*10*D20/3600</f>
        <v>18</v>
      </c>
      <c r="E21" s="38" t="s">
        <v>1</v>
      </c>
      <c r="F21" s="39"/>
      <c r="G21" s="40"/>
      <c r="H21" s="29"/>
      <c r="I21" s="18"/>
      <c r="J21" s="21"/>
      <c r="K21" s="36"/>
      <c r="L21" s="53"/>
      <c r="M21" s="171"/>
      <c r="N21" s="172"/>
      <c r="O21" s="24" t="s">
        <v>79</v>
      </c>
      <c r="P21" s="159"/>
      <c r="Q21" s="182"/>
      <c r="R21" s="189"/>
      <c r="U21" s="54"/>
      <c r="AD21" s="12" t="b">
        <v>1</v>
      </c>
    </row>
    <row r="22" spans="1:30" ht="16.5" customHeight="1">
      <c r="A22" s="17"/>
      <c r="B22" s="45"/>
      <c r="C22" s="46"/>
      <c r="D22" s="52">
        <f>D21*1.36</f>
        <v>24.48</v>
      </c>
      <c r="E22" s="38" t="s">
        <v>4</v>
      </c>
      <c r="F22" s="39"/>
      <c r="G22" s="40"/>
      <c r="H22" s="29"/>
      <c r="I22" s="186" t="s">
        <v>67</v>
      </c>
      <c r="J22" s="187"/>
      <c r="K22" s="36"/>
      <c r="L22" s="53"/>
      <c r="M22" s="171"/>
      <c r="N22" s="172" t="s">
        <v>76</v>
      </c>
      <c r="O22" s="24" t="s">
        <v>85</v>
      </c>
      <c r="P22" s="50" t="s">
        <v>92</v>
      </c>
      <c r="Q22" s="51" t="s">
        <v>97</v>
      </c>
      <c r="R22" s="55" t="s">
        <v>93</v>
      </c>
      <c r="U22" s="54"/>
      <c r="AD22" s="12" t="b">
        <v>0</v>
      </c>
    </row>
    <row r="23" spans="1:28" ht="16.5" customHeight="1">
      <c r="A23" s="17"/>
      <c r="B23" s="160" t="s">
        <v>98</v>
      </c>
      <c r="C23" s="161"/>
      <c r="D23" s="52">
        <f>D22/0.75</f>
        <v>32.64</v>
      </c>
      <c r="E23" s="38" t="s">
        <v>4</v>
      </c>
      <c r="F23" s="39"/>
      <c r="G23" s="40"/>
      <c r="H23" s="41"/>
      <c r="I23" s="34" t="s">
        <v>19</v>
      </c>
      <c r="J23" s="56">
        <v>3</v>
      </c>
      <c r="K23" s="36"/>
      <c r="L23" s="53"/>
      <c r="M23" s="171"/>
      <c r="N23" s="172"/>
      <c r="O23" s="24" t="str">
        <f>CONCATENATE(D$13," cm")</f>
        <v>10 cm</v>
      </c>
      <c r="P23" s="159">
        <f>(32+1.9*D$20)*0.85*13*D$13/10</f>
        <v>521.5600000000001</v>
      </c>
      <c r="Q23" s="182">
        <f>D$20</f>
        <v>8</v>
      </c>
      <c r="R23" s="189">
        <f>P23*10*D$20/3600</f>
        <v>11.590222222222224</v>
      </c>
      <c r="V23" s="54"/>
      <c r="W23" s="54"/>
      <c r="X23" s="54"/>
      <c r="Y23" s="54"/>
      <c r="Z23" s="54"/>
      <c r="AA23" s="54"/>
      <c r="AB23" s="54"/>
    </row>
    <row r="24" spans="1:28" ht="16.5" customHeight="1">
      <c r="A24" s="17"/>
      <c r="B24" s="45"/>
      <c r="C24" s="46"/>
      <c r="D24" s="52"/>
      <c r="E24" s="38"/>
      <c r="F24" s="39"/>
      <c r="G24" s="40"/>
      <c r="H24" s="41"/>
      <c r="I24" s="34" t="s">
        <v>20</v>
      </c>
      <c r="J24" s="56">
        <v>4.5</v>
      </c>
      <c r="K24" s="36"/>
      <c r="L24" s="53"/>
      <c r="M24" s="171"/>
      <c r="N24" s="172"/>
      <c r="O24" s="24" t="s">
        <v>79</v>
      </c>
      <c r="P24" s="159"/>
      <c r="Q24" s="182"/>
      <c r="R24" s="189"/>
      <c r="V24" s="54"/>
      <c r="W24" s="54"/>
      <c r="X24" s="54"/>
      <c r="Y24" s="54"/>
      <c r="Z24" s="54"/>
      <c r="AA24" s="54"/>
      <c r="AB24" s="54"/>
    </row>
    <row r="25" spans="1:30" ht="16.5" customHeight="1">
      <c r="A25" s="17"/>
      <c r="B25" s="160" t="s">
        <v>87</v>
      </c>
      <c r="C25" s="161"/>
      <c r="D25" s="57">
        <f>10/(D20*D14)</f>
        <v>0.2777777777777778</v>
      </c>
      <c r="E25" s="38" t="s">
        <v>37</v>
      </c>
      <c r="F25" s="39"/>
      <c r="G25" s="40"/>
      <c r="H25" s="41"/>
      <c r="I25" s="34" t="s">
        <v>21</v>
      </c>
      <c r="J25" s="56">
        <v>7</v>
      </c>
      <c r="K25" s="36"/>
      <c r="M25" s="171"/>
      <c r="N25" s="173" t="s">
        <v>77</v>
      </c>
      <c r="O25" s="24" t="s">
        <v>85</v>
      </c>
      <c r="P25" s="50" t="s">
        <v>92</v>
      </c>
      <c r="Q25" s="51" t="s">
        <v>97</v>
      </c>
      <c r="R25" s="55" t="s">
        <v>93</v>
      </c>
      <c r="AD25" s="12" t="b">
        <v>0</v>
      </c>
    </row>
    <row r="26" spans="1:30" ht="16.5" customHeight="1">
      <c r="A26" s="17"/>
      <c r="B26" s="160" t="s">
        <v>38</v>
      </c>
      <c r="C26" s="161"/>
      <c r="D26" s="47">
        <f>IF(AD25=TRUE,J28,IF(AD26=TRUE,J29,IF(AD27=TRUE,J30)))</f>
        <v>0.85</v>
      </c>
      <c r="E26" s="48"/>
      <c r="F26" s="39"/>
      <c r="G26" s="40"/>
      <c r="H26" s="29"/>
      <c r="I26" s="18"/>
      <c r="J26" s="21"/>
      <c r="K26" s="23"/>
      <c r="L26" s="53"/>
      <c r="M26" s="171"/>
      <c r="N26" s="173"/>
      <c r="O26" s="24" t="str">
        <f>CONCATENATE(D$13," cm")</f>
        <v>10 cm</v>
      </c>
      <c r="P26" s="159">
        <f>(32+1.9*D$20)*1*13*D$13/10</f>
        <v>613.6</v>
      </c>
      <c r="Q26" s="182">
        <f>D$20</f>
        <v>8</v>
      </c>
      <c r="R26" s="189">
        <f>P26*10*D$20/3600</f>
        <v>13.635555555555555</v>
      </c>
      <c r="AD26" s="12" t="b">
        <v>0</v>
      </c>
    </row>
    <row r="27" spans="1:30" ht="16.5" customHeight="1">
      <c r="A27" s="17"/>
      <c r="B27" s="174" t="s">
        <v>88</v>
      </c>
      <c r="C27" s="175"/>
      <c r="D27" s="60">
        <f>D25/D26</f>
        <v>0.32679738562091504</v>
      </c>
      <c r="E27" s="61" t="s">
        <v>37</v>
      </c>
      <c r="F27" s="39"/>
      <c r="G27" s="40"/>
      <c r="H27" s="29"/>
      <c r="I27" s="186" t="s">
        <v>46</v>
      </c>
      <c r="J27" s="187"/>
      <c r="K27" s="36"/>
      <c r="L27" s="53"/>
      <c r="M27" s="171"/>
      <c r="N27" s="173"/>
      <c r="O27" s="24" t="s">
        <v>79</v>
      </c>
      <c r="P27" s="159"/>
      <c r="Q27" s="182"/>
      <c r="R27" s="189"/>
      <c r="AD27" s="12" t="b">
        <v>1</v>
      </c>
    </row>
    <row r="28" spans="1:18" ht="16.5" customHeight="1">
      <c r="A28" s="17"/>
      <c r="B28" s="62"/>
      <c r="C28" s="63"/>
      <c r="D28" s="60">
        <f>1/D27</f>
        <v>3.06</v>
      </c>
      <c r="E28" s="61" t="s">
        <v>39</v>
      </c>
      <c r="F28" s="39"/>
      <c r="G28" s="40"/>
      <c r="H28" s="41"/>
      <c r="I28" s="34" t="s">
        <v>19</v>
      </c>
      <c r="J28" s="35">
        <v>0.65</v>
      </c>
      <c r="K28" s="36"/>
      <c r="L28" s="53"/>
      <c r="P28" s="64"/>
      <c r="Q28" s="55"/>
      <c r="R28" s="55"/>
    </row>
    <row r="29" spans="1:20" ht="16.5" customHeight="1">
      <c r="A29" s="17"/>
      <c r="B29" s="62"/>
      <c r="C29" s="39"/>
      <c r="D29" s="47"/>
      <c r="E29" s="48"/>
      <c r="F29" s="39"/>
      <c r="G29" s="40"/>
      <c r="H29" s="41"/>
      <c r="I29" s="34" t="s">
        <v>20</v>
      </c>
      <c r="J29" s="35">
        <v>0.75</v>
      </c>
      <c r="K29" s="36"/>
      <c r="L29" s="53"/>
      <c r="M29" s="171" t="s">
        <v>84</v>
      </c>
      <c r="N29" s="172" t="s">
        <v>78</v>
      </c>
      <c r="O29" s="24" t="s">
        <v>86</v>
      </c>
      <c r="P29" s="50" t="s">
        <v>92</v>
      </c>
      <c r="Q29" s="51" t="s">
        <v>97</v>
      </c>
      <c r="R29" s="55" t="s">
        <v>93</v>
      </c>
      <c r="S29" s="54"/>
      <c r="T29" s="54"/>
    </row>
    <row r="30" spans="1:20" ht="16.5" customHeight="1">
      <c r="A30" s="17"/>
      <c r="B30" s="160" t="s">
        <v>68</v>
      </c>
      <c r="C30" s="161"/>
      <c r="D30" s="47">
        <f>IF(AD31=TRUE,J33,IF(AD32=TRUE,J34,IF(AD33=TRUE,J35)))</f>
        <v>50</v>
      </c>
      <c r="E30" s="38" t="s">
        <v>3</v>
      </c>
      <c r="F30" s="39"/>
      <c r="G30" s="40"/>
      <c r="H30" s="41"/>
      <c r="I30" s="34" t="s">
        <v>21</v>
      </c>
      <c r="J30" s="35">
        <v>0.85</v>
      </c>
      <c r="K30" s="36"/>
      <c r="L30" s="53"/>
      <c r="M30" s="171"/>
      <c r="N30" s="172"/>
      <c r="O30" s="24" t="str">
        <f>CONCATENATE(D$13," cm")</f>
        <v>10 cm</v>
      </c>
      <c r="P30" s="159">
        <f>(32+1.9*D$20)*0.65*21*D$13/10</f>
        <v>644.2800000000001</v>
      </c>
      <c r="Q30" s="182">
        <f>D$20</f>
        <v>8</v>
      </c>
      <c r="R30" s="189">
        <f>P30*10*D$20/3600</f>
        <v>14.317333333333336</v>
      </c>
      <c r="S30" s="54"/>
      <c r="T30" s="54"/>
    </row>
    <row r="31" spans="1:30" ht="16.5" customHeight="1">
      <c r="A31" s="17"/>
      <c r="B31" s="160" t="s">
        <v>41</v>
      </c>
      <c r="C31" s="161"/>
      <c r="D31" s="52">
        <f>D23*100/D30</f>
        <v>65.28</v>
      </c>
      <c r="E31" s="38" t="s">
        <v>4</v>
      </c>
      <c r="F31" s="39"/>
      <c r="G31" s="40"/>
      <c r="H31" s="29"/>
      <c r="I31" s="18"/>
      <c r="J31" s="18"/>
      <c r="K31" s="23"/>
      <c r="L31" s="53"/>
      <c r="M31" s="171"/>
      <c r="N31" s="172"/>
      <c r="O31" s="24" t="s">
        <v>79</v>
      </c>
      <c r="P31" s="159"/>
      <c r="Q31" s="182"/>
      <c r="R31" s="189"/>
      <c r="AD31" s="12" t="b">
        <v>0</v>
      </c>
    </row>
    <row r="32" spans="1:30" ht="16.5" customHeight="1">
      <c r="A32" s="17"/>
      <c r="B32" s="45"/>
      <c r="C32" s="46"/>
      <c r="D32" s="47"/>
      <c r="E32" s="48"/>
      <c r="F32" s="39"/>
      <c r="G32" s="40"/>
      <c r="H32" s="29"/>
      <c r="I32" s="186" t="s">
        <v>40</v>
      </c>
      <c r="J32" s="187"/>
      <c r="K32" s="36"/>
      <c r="L32" s="53"/>
      <c r="M32" s="171"/>
      <c r="N32" s="172" t="s">
        <v>76</v>
      </c>
      <c r="O32" s="24" t="s">
        <v>86</v>
      </c>
      <c r="P32" s="50" t="s">
        <v>92</v>
      </c>
      <c r="Q32" s="51" t="s">
        <v>97</v>
      </c>
      <c r="R32" s="55" t="s">
        <v>93</v>
      </c>
      <c r="AD32" s="12" t="b">
        <v>1</v>
      </c>
    </row>
    <row r="33" spans="1:30" ht="16.5" customHeight="1">
      <c r="A33" s="17"/>
      <c r="B33" s="160" t="s">
        <v>100</v>
      </c>
      <c r="C33" s="161"/>
      <c r="D33" s="47" t="str">
        <f>IF(AD38=TRUE,"Pequeño",IF(AD39=TRUE,"Mediano",IF(AD40=TRUE,"Grande",IF(AD41=TRUE,"Muy Grande"))))</f>
        <v>Mediano</v>
      </c>
      <c r="E33" s="38"/>
      <c r="F33" s="39"/>
      <c r="G33" s="39"/>
      <c r="H33" s="41"/>
      <c r="I33" s="34" t="s">
        <v>80</v>
      </c>
      <c r="J33" s="35">
        <v>25</v>
      </c>
      <c r="K33" s="36"/>
      <c r="L33" s="53"/>
      <c r="M33" s="171"/>
      <c r="N33" s="172"/>
      <c r="O33" s="24" t="str">
        <f>CONCATENATE(D$13," cm")</f>
        <v>10 cm</v>
      </c>
      <c r="P33" s="159">
        <f>(32+1.9*D$20)*0.85*21*D$13/10</f>
        <v>842.5200000000001</v>
      </c>
      <c r="Q33" s="182">
        <f>D$20</f>
        <v>8</v>
      </c>
      <c r="R33" s="189">
        <f>P33*10*D$20/3600</f>
        <v>18.72266666666667</v>
      </c>
      <c r="AD33" s="12" t="b">
        <v>0</v>
      </c>
    </row>
    <row r="34" spans="1:18" ht="16.5" customHeight="1">
      <c r="A34" s="17"/>
      <c r="B34" s="169" t="s">
        <v>101</v>
      </c>
      <c r="C34" s="170"/>
      <c r="D34" s="65">
        <f>IF(AD38=TRUE,J38,IF(AD39=TRUE,J39,IF(AD40=TRUE,J40,IF(AD41=TRUE,J41,""))))</f>
        <v>120</v>
      </c>
      <c r="E34" s="66" t="s">
        <v>4</v>
      </c>
      <c r="F34" s="67"/>
      <c r="G34" s="67"/>
      <c r="H34" s="41"/>
      <c r="I34" s="34" t="s">
        <v>17</v>
      </c>
      <c r="J34" s="35">
        <v>50</v>
      </c>
      <c r="K34" s="36"/>
      <c r="M34" s="171"/>
      <c r="N34" s="172"/>
      <c r="O34" s="24" t="s">
        <v>79</v>
      </c>
      <c r="P34" s="159"/>
      <c r="Q34" s="182"/>
      <c r="R34" s="189"/>
    </row>
    <row r="35" spans="1:18" ht="16.5" customHeight="1">
      <c r="A35" s="17"/>
      <c r="B35" s="18"/>
      <c r="C35" s="18"/>
      <c r="D35" s="68"/>
      <c r="E35" s="21"/>
      <c r="F35" s="18"/>
      <c r="G35" s="18"/>
      <c r="H35" s="41"/>
      <c r="I35" s="34" t="s">
        <v>81</v>
      </c>
      <c r="J35" s="35">
        <v>75</v>
      </c>
      <c r="K35" s="36"/>
      <c r="L35" s="53"/>
      <c r="M35" s="171"/>
      <c r="N35" s="173" t="s">
        <v>77</v>
      </c>
      <c r="O35" s="24" t="s">
        <v>86</v>
      </c>
      <c r="P35" s="50" t="s">
        <v>92</v>
      </c>
      <c r="Q35" s="51" t="s">
        <v>97</v>
      </c>
      <c r="R35" s="55" t="s">
        <v>93</v>
      </c>
    </row>
    <row r="36" spans="1:18" ht="16.5" customHeight="1">
      <c r="A36" s="17"/>
      <c r="B36" s="165" t="s">
        <v>82</v>
      </c>
      <c r="C36" s="166"/>
      <c r="D36" s="69"/>
      <c r="E36" s="70"/>
      <c r="F36" s="18"/>
      <c r="G36" s="18"/>
      <c r="H36" s="29"/>
      <c r="I36" s="18"/>
      <c r="J36" s="18"/>
      <c r="K36" s="23"/>
      <c r="L36" s="53"/>
      <c r="M36" s="171"/>
      <c r="N36" s="173"/>
      <c r="O36" s="24" t="str">
        <f>CONCATENATE(D$13," cm")</f>
        <v>10 cm</v>
      </c>
      <c r="P36" s="159">
        <f>(32+1.9*D$20)*1*21*D$13/10</f>
        <v>991.2</v>
      </c>
      <c r="Q36" s="182">
        <f>D$20</f>
        <v>8</v>
      </c>
      <c r="R36" s="189">
        <f>P36*10*D$20/3600</f>
        <v>22.026666666666667</v>
      </c>
    </row>
    <row r="37" spans="1:18" ht="16.5" customHeight="1">
      <c r="A37" s="17"/>
      <c r="B37" s="160" t="s">
        <v>9</v>
      </c>
      <c r="C37" s="161"/>
      <c r="D37" s="57">
        <f>IF(D30=J33,J45*D34/1.36,IF(D30=J34,J46*D34/1.36,IF(D30=J35,J47*D34/1.36)))</f>
        <v>13.235294117647058</v>
      </c>
      <c r="E37" s="44" t="s">
        <v>12</v>
      </c>
      <c r="F37" s="18"/>
      <c r="G37" s="18"/>
      <c r="H37" s="29"/>
      <c r="I37" s="164" t="s">
        <v>45</v>
      </c>
      <c r="J37" s="164"/>
      <c r="K37" s="36"/>
      <c r="L37" s="53"/>
      <c r="M37" s="171"/>
      <c r="N37" s="173"/>
      <c r="O37" s="24" t="s">
        <v>79</v>
      </c>
      <c r="P37" s="159"/>
      <c r="Q37" s="182"/>
      <c r="R37" s="189"/>
    </row>
    <row r="38" spans="1:30" ht="16.5" customHeight="1">
      <c r="A38" s="17"/>
      <c r="B38" s="45"/>
      <c r="C38" s="46"/>
      <c r="D38" s="57">
        <f>D37*D27</f>
        <v>4.325259515570934</v>
      </c>
      <c r="E38" s="44" t="s">
        <v>91</v>
      </c>
      <c r="F38" s="18"/>
      <c r="G38" s="18"/>
      <c r="H38" s="41"/>
      <c r="I38" s="71" t="s">
        <v>69</v>
      </c>
      <c r="J38" s="35">
        <v>90</v>
      </c>
      <c r="K38" s="36"/>
      <c r="L38" s="53"/>
      <c r="M38" s="24"/>
      <c r="U38" s="72"/>
      <c r="AD38" s="12" t="b">
        <v>0</v>
      </c>
    </row>
    <row r="39" spans="1:30" ht="16.5" customHeight="1">
      <c r="A39" s="17"/>
      <c r="B39" s="160" t="s">
        <v>49</v>
      </c>
      <c r="C39" s="161"/>
      <c r="D39" s="73">
        <f>D37*0.1/100</f>
        <v>0.013235294117647059</v>
      </c>
      <c r="E39" s="44" t="s">
        <v>12</v>
      </c>
      <c r="F39" s="18"/>
      <c r="G39" s="18"/>
      <c r="H39" s="41"/>
      <c r="I39" s="34" t="s">
        <v>42</v>
      </c>
      <c r="J39" s="35">
        <v>120</v>
      </c>
      <c r="K39" s="36"/>
      <c r="M39" s="190" t="s">
        <v>66</v>
      </c>
      <c r="N39" s="190"/>
      <c r="O39" s="190"/>
      <c r="P39" s="190"/>
      <c r="Q39" s="190"/>
      <c r="R39" s="190"/>
      <c r="AD39" s="12" t="b">
        <v>1</v>
      </c>
    </row>
    <row r="40" spans="1:30" ht="16.5" customHeight="1">
      <c r="A40" s="17"/>
      <c r="B40" s="62"/>
      <c r="C40" s="39"/>
      <c r="D40" s="73">
        <f>D38*0.1/100</f>
        <v>0.004325259515570935</v>
      </c>
      <c r="E40" s="44" t="s">
        <v>91</v>
      </c>
      <c r="F40" s="18"/>
      <c r="G40" s="18"/>
      <c r="H40" s="41"/>
      <c r="I40" s="34" t="s">
        <v>43</v>
      </c>
      <c r="J40" s="35">
        <v>150</v>
      </c>
      <c r="K40" s="36"/>
      <c r="M40" s="190"/>
      <c r="N40" s="190"/>
      <c r="O40" s="190"/>
      <c r="P40" s="190"/>
      <c r="Q40" s="190"/>
      <c r="R40" s="190"/>
      <c r="V40" s="72"/>
      <c r="W40" s="72"/>
      <c r="X40" s="72"/>
      <c r="Y40" s="72"/>
      <c r="Z40" s="72"/>
      <c r="AD40" s="12" t="b">
        <v>0</v>
      </c>
    </row>
    <row r="41" spans="1:30" ht="16.5" customHeight="1" thickBot="1">
      <c r="A41" s="17"/>
      <c r="B41" s="167" t="s">
        <v>89</v>
      </c>
      <c r="C41" s="168"/>
      <c r="D41" s="74">
        <v>1</v>
      </c>
      <c r="E41" s="75" t="s">
        <v>6</v>
      </c>
      <c r="F41" s="18"/>
      <c r="G41" s="18"/>
      <c r="H41" s="41"/>
      <c r="I41" s="34" t="s">
        <v>44</v>
      </c>
      <c r="J41" s="35">
        <v>180</v>
      </c>
      <c r="K41" s="36"/>
      <c r="L41" s="53"/>
      <c r="AD41" s="12" t="b">
        <v>0</v>
      </c>
    </row>
    <row r="42" spans="1:15" ht="16.5" customHeight="1" thickTop="1">
      <c r="A42" s="17"/>
      <c r="B42" s="58" t="s">
        <v>90</v>
      </c>
      <c r="C42" s="59"/>
      <c r="D42" s="76">
        <f>D41*D37</f>
        <v>13.235294117647058</v>
      </c>
      <c r="E42" s="77" t="s">
        <v>61</v>
      </c>
      <c r="F42" s="18"/>
      <c r="G42" s="18"/>
      <c r="H42" s="29"/>
      <c r="I42" s="18"/>
      <c r="J42" s="18"/>
      <c r="K42" s="23"/>
      <c r="L42" s="53"/>
      <c r="M42" s="178" t="s">
        <v>111</v>
      </c>
      <c r="N42" s="178"/>
      <c r="O42" s="178"/>
    </row>
    <row r="43" spans="1:15" ht="16.5" customHeight="1">
      <c r="A43" s="17"/>
      <c r="B43" s="78"/>
      <c r="C43" s="79"/>
      <c r="D43" s="80">
        <f>D38*D41</f>
        <v>4.325259515570934</v>
      </c>
      <c r="E43" s="81" t="s">
        <v>59</v>
      </c>
      <c r="F43" s="18"/>
      <c r="G43" s="18"/>
      <c r="H43" s="29"/>
      <c r="I43" s="164" t="s">
        <v>47</v>
      </c>
      <c r="J43" s="164"/>
      <c r="K43" s="36"/>
      <c r="L43" s="53"/>
      <c r="M43" s="179" t="s">
        <v>101</v>
      </c>
      <c r="N43" s="82">
        <f>D34</f>
        <v>120</v>
      </c>
      <c r="O43" s="83" t="s">
        <v>4</v>
      </c>
    </row>
    <row r="44" spans="1:20" ht="16.5" customHeight="1">
      <c r="A44" s="17"/>
      <c r="B44" s="18"/>
      <c r="C44" s="18"/>
      <c r="D44" s="68"/>
      <c r="E44" s="21"/>
      <c r="F44" s="18"/>
      <c r="G44" s="18"/>
      <c r="H44" s="29"/>
      <c r="I44" s="34" t="s">
        <v>48</v>
      </c>
      <c r="J44" s="35" t="s">
        <v>96</v>
      </c>
      <c r="K44" s="36"/>
      <c r="L44" s="53"/>
      <c r="M44" s="179"/>
      <c r="N44" s="84">
        <f>N43/1.36</f>
        <v>88.23529411764706</v>
      </c>
      <c r="O44" s="83" t="s">
        <v>1</v>
      </c>
      <c r="Q44" s="191" t="s">
        <v>112</v>
      </c>
      <c r="R44" s="191"/>
      <c r="S44" s="72"/>
      <c r="T44" s="72"/>
    </row>
    <row r="45" spans="1:18" ht="16.5" customHeight="1">
      <c r="A45" s="17"/>
      <c r="B45" s="165" t="s">
        <v>83</v>
      </c>
      <c r="C45" s="166"/>
      <c r="D45" s="69"/>
      <c r="E45" s="85"/>
      <c r="F45" s="166"/>
      <c r="G45" s="188"/>
      <c r="H45" s="18"/>
      <c r="I45" s="34" t="s">
        <v>19</v>
      </c>
      <c r="J45" s="86">
        <v>0.1</v>
      </c>
      <c r="K45" s="87"/>
      <c r="M45" s="180" t="s">
        <v>115</v>
      </c>
      <c r="N45" s="82">
        <f>+I61</f>
        <v>560</v>
      </c>
      <c r="O45" s="11" t="s">
        <v>7</v>
      </c>
      <c r="Q45" s="191"/>
      <c r="R45" s="191"/>
    </row>
    <row r="46" spans="1:18" ht="16.5" customHeight="1">
      <c r="A46" s="17"/>
      <c r="B46" s="160" t="s">
        <v>63</v>
      </c>
      <c r="C46" s="161"/>
      <c r="D46" s="47">
        <f>IF(AD48=TRUE,J50,J51)</f>
        <v>100</v>
      </c>
      <c r="E46" s="38" t="s">
        <v>60</v>
      </c>
      <c r="F46" s="39"/>
      <c r="G46" s="40"/>
      <c r="H46" s="18"/>
      <c r="I46" s="34" t="s">
        <v>20</v>
      </c>
      <c r="J46" s="86">
        <v>0.15</v>
      </c>
      <c r="K46" s="87"/>
      <c r="M46" s="180"/>
      <c r="N46" s="88">
        <f>N44*N45</f>
        <v>49411.76470588235</v>
      </c>
      <c r="O46" s="11" t="s">
        <v>0</v>
      </c>
      <c r="Q46" s="84" t="s">
        <v>60</v>
      </c>
      <c r="R46" s="89" t="s">
        <v>113</v>
      </c>
    </row>
    <row r="47" spans="1:21" ht="16.5" customHeight="1">
      <c r="A47" s="17"/>
      <c r="B47" s="45"/>
      <c r="C47" s="46"/>
      <c r="D47" s="47"/>
      <c r="E47" s="48"/>
      <c r="F47" s="39"/>
      <c r="G47" s="40"/>
      <c r="H47" s="18"/>
      <c r="I47" s="34" t="s">
        <v>21</v>
      </c>
      <c r="J47" s="86">
        <v>0.207</v>
      </c>
      <c r="K47" s="87"/>
      <c r="M47" s="180" t="s">
        <v>114</v>
      </c>
      <c r="N47" s="90">
        <v>12000</v>
      </c>
      <c r="O47" s="11" t="s">
        <v>2</v>
      </c>
      <c r="Q47" s="88">
        <v>500</v>
      </c>
      <c r="R47" s="84">
        <f>$N$46/$N$47+$N$46/($N$48*Q47)+($N$46*$N$49*0.6)/(Q47*100)+($N$46*(($N$51+$N$50)/(Q47*100)))+$N$44*$N$53*$N$52</f>
        <v>14.967058823529412</v>
      </c>
      <c r="U47" s="49"/>
    </row>
    <row r="48" spans="1:30" ht="16.5" customHeight="1">
      <c r="A48" s="17"/>
      <c r="B48" s="160" t="s">
        <v>50</v>
      </c>
      <c r="C48" s="161"/>
      <c r="D48" s="42">
        <f>F48*D14</f>
        <v>12375</v>
      </c>
      <c r="E48" s="38" t="s">
        <v>0</v>
      </c>
      <c r="F48" s="91">
        <v>2750</v>
      </c>
      <c r="G48" s="92" t="s">
        <v>109</v>
      </c>
      <c r="H48" s="18"/>
      <c r="I48" s="18"/>
      <c r="J48" s="93"/>
      <c r="K48" s="23"/>
      <c r="M48" s="180"/>
      <c r="N48" s="24">
        <v>20</v>
      </c>
      <c r="O48" s="11" t="s">
        <v>5</v>
      </c>
      <c r="Q48" s="88">
        <v>1000</v>
      </c>
      <c r="R48" s="84">
        <f>$N$46/$N$47+$N$46/($N$48*Q48)+($N$46*$N$49*0.6)/(Q48*100)+($N$46*(($N$51+$N$50)/(Q48*100)))+$N$44*$N$53*$N$52</f>
        <v>10.865882352941176</v>
      </c>
      <c r="U48" s="49"/>
      <c r="AD48" s="12" t="b">
        <v>1</v>
      </c>
    </row>
    <row r="49" spans="1:30" ht="16.5" customHeight="1">
      <c r="A49" s="17"/>
      <c r="B49" s="62"/>
      <c r="C49" s="39"/>
      <c r="D49" s="42"/>
      <c r="E49" s="48"/>
      <c r="F49" s="39"/>
      <c r="G49" s="40"/>
      <c r="H49" s="18"/>
      <c r="I49" s="164" t="s">
        <v>106</v>
      </c>
      <c r="J49" s="164"/>
      <c r="K49" s="36"/>
      <c r="M49" s="94" t="s">
        <v>116</v>
      </c>
      <c r="N49" s="95">
        <f>+D52</f>
        <v>5</v>
      </c>
      <c r="O49" s="11" t="s">
        <v>3</v>
      </c>
      <c r="U49" s="96"/>
      <c r="AD49" s="12" t="b">
        <v>0</v>
      </c>
    </row>
    <row r="50" spans="1:21" ht="16.5" customHeight="1">
      <c r="A50" s="17"/>
      <c r="B50" s="160" t="s">
        <v>51</v>
      </c>
      <c r="C50" s="161"/>
      <c r="D50" s="97">
        <v>3000</v>
      </c>
      <c r="E50" s="38" t="s">
        <v>57</v>
      </c>
      <c r="F50" s="57">
        <f>+$D$48/$D50</f>
        <v>4.125</v>
      </c>
      <c r="G50" s="92" t="s">
        <v>61</v>
      </c>
      <c r="H50" s="98"/>
      <c r="I50" s="34" t="s">
        <v>19</v>
      </c>
      <c r="J50" s="56">
        <v>100</v>
      </c>
      <c r="K50" s="36"/>
      <c r="M50" s="94" t="s">
        <v>8</v>
      </c>
      <c r="N50" s="95">
        <v>0.2</v>
      </c>
      <c r="O50" s="11" t="s">
        <v>3</v>
      </c>
      <c r="U50" s="96"/>
    </row>
    <row r="51" spans="1:26" ht="16.5" customHeight="1">
      <c r="A51" s="17"/>
      <c r="B51" s="160" t="s">
        <v>52</v>
      </c>
      <c r="C51" s="161"/>
      <c r="D51" s="99">
        <v>20</v>
      </c>
      <c r="E51" s="38" t="s">
        <v>5</v>
      </c>
      <c r="F51" s="57">
        <f>+$D$48/($D51*D46)</f>
        <v>6.1875</v>
      </c>
      <c r="G51" s="92" t="s">
        <v>61</v>
      </c>
      <c r="H51" s="98"/>
      <c r="I51" s="34" t="s">
        <v>21</v>
      </c>
      <c r="J51" s="100">
        <v>200</v>
      </c>
      <c r="K51" s="101"/>
      <c r="M51" s="94" t="s">
        <v>10</v>
      </c>
      <c r="N51" s="95">
        <v>0.1</v>
      </c>
      <c r="O51" s="11" t="s">
        <v>3</v>
      </c>
      <c r="P51" s="102"/>
      <c r="Q51" s="102"/>
      <c r="R51" s="102"/>
      <c r="U51" s="96"/>
      <c r="V51" s="49"/>
      <c r="W51" s="49"/>
      <c r="X51" s="49"/>
      <c r="Y51" s="49"/>
      <c r="Z51" s="49"/>
    </row>
    <row r="52" spans="1:26" ht="16.5" customHeight="1">
      <c r="A52" s="17"/>
      <c r="B52" s="160" t="s">
        <v>53</v>
      </c>
      <c r="C52" s="161"/>
      <c r="D52" s="99">
        <v>5</v>
      </c>
      <c r="E52" s="38" t="s">
        <v>3</v>
      </c>
      <c r="F52" s="57">
        <f>+$D$48*0.006*$D52/D46</f>
        <v>3.7125</v>
      </c>
      <c r="G52" s="92" t="s">
        <v>61</v>
      </c>
      <c r="H52" s="18"/>
      <c r="I52" s="18"/>
      <c r="J52" s="93"/>
      <c r="K52" s="23"/>
      <c r="M52" s="103" t="s">
        <v>110</v>
      </c>
      <c r="N52" s="95">
        <v>0.2</v>
      </c>
      <c r="O52" s="104" t="s">
        <v>6</v>
      </c>
      <c r="P52" s="102"/>
      <c r="Q52" s="102"/>
      <c r="R52" s="102"/>
      <c r="U52" s="96"/>
      <c r="V52" s="49"/>
      <c r="W52" s="49"/>
      <c r="X52" s="49"/>
      <c r="Y52" s="49"/>
      <c r="Z52" s="49"/>
    </row>
    <row r="53" spans="1:28" ht="16.5" customHeight="1">
      <c r="A53" s="17"/>
      <c r="B53" s="160" t="s">
        <v>54</v>
      </c>
      <c r="C53" s="161"/>
      <c r="D53" s="99">
        <v>0.2</v>
      </c>
      <c r="E53" s="38" t="s">
        <v>58</v>
      </c>
      <c r="F53" s="57">
        <f>+$D$48*$D53/(100*D46)</f>
        <v>0.2475</v>
      </c>
      <c r="G53" s="92" t="s">
        <v>61</v>
      </c>
      <c r="H53" s="18"/>
      <c r="I53" s="18"/>
      <c r="J53" s="93"/>
      <c r="K53" s="23"/>
      <c r="M53" s="103" t="s">
        <v>117</v>
      </c>
      <c r="N53" s="105">
        <v>0.15</v>
      </c>
      <c r="O53" s="106" t="s">
        <v>11</v>
      </c>
      <c r="P53" s="102"/>
      <c r="Q53" s="102"/>
      <c r="R53" s="102"/>
      <c r="U53" s="96"/>
      <c r="V53" s="96"/>
      <c r="W53" s="96"/>
      <c r="X53" s="96"/>
      <c r="Y53" s="96"/>
      <c r="Z53" s="96"/>
      <c r="AA53" s="96"/>
      <c r="AB53" s="96"/>
    </row>
    <row r="54" spans="1:28" ht="16.5" customHeight="1">
      <c r="A54" s="17"/>
      <c r="B54" s="160" t="s">
        <v>55</v>
      </c>
      <c r="C54" s="161"/>
      <c r="D54" s="99">
        <v>0.1</v>
      </c>
      <c r="E54" s="38" t="s">
        <v>58</v>
      </c>
      <c r="F54" s="57">
        <f>+$D$48*$D54/(D46*100)</f>
        <v>0.12375</v>
      </c>
      <c r="G54" s="92" t="s">
        <v>61</v>
      </c>
      <c r="H54" s="18"/>
      <c r="I54" s="18"/>
      <c r="J54" s="93"/>
      <c r="K54" s="107"/>
      <c r="M54" s="83"/>
      <c r="N54" s="83"/>
      <c r="U54" s="49"/>
      <c r="V54" s="96"/>
      <c r="W54" s="96"/>
      <c r="X54" s="96"/>
      <c r="Y54" s="96"/>
      <c r="Z54" s="96"/>
      <c r="AA54" s="96"/>
      <c r="AB54" s="96"/>
    </row>
    <row r="55" spans="1:28" ht="16.5" customHeight="1" thickBot="1">
      <c r="A55" s="17"/>
      <c r="B55" s="162" t="s">
        <v>56</v>
      </c>
      <c r="C55" s="163"/>
      <c r="D55" s="74">
        <v>0.6</v>
      </c>
      <c r="E55" s="108" t="s">
        <v>59</v>
      </c>
      <c r="F55" s="109">
        <f>+D55/D27</f>
        <v>1.8359999999999999</v>
      </c>
      <c r="G55" s="110" t="s">
        <v>61</v>
      </c>
      <c r="H55" s="18"/>
      <c r="I55" s="184" t="str">
        <f>CONCATENATE("Vida útil para ",D46," h/año")</f>
        <v>Vida útil para 100 h/año</v>
      </c>
      <c r="J55" s="185"/>
      <c r="K55" s="111"/>
      <c r="M55" s="181" t="s">
        <v>71</v>
      </c>
      <c r="N55" s="181" t="s">
        <v>72</v>
      </c>
      <c r="O55" s="172" t="s">
        <v>73</v>
      </c>
      <c r="P55" s="172" t="s">
        <v>99</v>
      </c>
      <c r="Q55" s="172" t="s">
        <v>74</v>
      </c>
      <c r="R55" s="172" t="s">
        <v>95</v>
      </c>
      <c r="S55" s="181" t="s">
        <v>75</v>
      </c>
      <c r="T55" s="172" t="s">
        <v>94</v>
      </c>
      <c r="U55" s="49"/>
      <c r="V55" s="96"/>
      <c r="W55" s="96"/>
      <c r="X55" s="96"/>
      <c r="Y55" s="96"/>
      <c r="Z55" s="96"/>
      <c r="AA55" s="96"/>
      <c r="AB55" s="96"/>
    </row>
    <row r="56" spans="1:28" ht="16.5" customHeight="1" thickTop="1">
      <c r="A56" s="17"/>
      <c r="B56" s="112" t="s">
        <v>62</v>
      </c>
      <c r="C56" s="113"/>
      <c r="D56" s="114"/>
      <c r="E56" s="115"/>
      <c r="F56" s="116">
        <f>SUM(F50:F55)</f>
        <v>16.23225</v>
      </c>
      <c r="G56" s="117" t="s">
        <v>61</v>
      </c>
      <c r="H56" s="18"/>
      <c r="I56" s="118" t="s">
        <v>57</v>
      </c>
      <c r="J56" s="119">
        <f>+$D$48/($F$50+$F$51)</f>
        <v>1200</v>
      </c>
      <c r="K56" s="120"/>
      <c r="M56" s="181"/>
      <c r="N56" s="181"/>
      <c r="O56" s="172"/>
      <c r="P56" s="172"/>
      <c r="Q56" s="172"/>
      <c r="R56" s="172"/>
      <c r="S56" s="181"/>
      <c r="T56" s="172"/>
      <c r="U56" s="96"/>
      <c r="V56" s="96"/>
      <c r="W56" s="96"/>
      <c r="X56" s="96"/>
      <c r="Y56" s="96"/>
      <c r="Z56" s="96"/>
      <c r="AA56" s="96"/>
      <c r="AB56" s="96"/>
    </row>
    <row r="57" spans="1:28" ht="16.5" customHeight="1">
      <c r="A57" s="17"/>
      <c r="B57" s="121"/>
      <c r="C57" s="122"/>
      <c r="D57" s="123"/>
      <c r="E57" s="123"/>
      <c r="F57" s="124">
        <f>+F56*D27</f>
        <v>5.304656862745098</v>
      </c>
      <c r="G57" s="125" t="s">
        <v>59</v>
      </c>
      <c r="H57" s="18"/>
      <c r="I57" s="118" t="s">
        <v>5</v>
      </c>
      <c r="J57" s="126">
        <f>+$D$48/($D$46*($F$50+$F$51))</f>
        <v>12</v>
      </c>
      <c r="K57" s="23"/>
      <c r="M57" s="82">
        <v>180</v>
      </c>
      <c r="N57" s="127">
        <v>75</v>
      </c>
      <c r="O57" s="128">
        <f>N57/100*M57</f>
        <v>135</v>
      </c>
      <c r="P57" s="129">
        <f aca="true" t="shared" si="0" ref="P57:P68">0.75*O57</f>
        <v>101.25</v>
      </c>
      <c r="Q57" s="128">
        <f aca="true" t="shared" si="1" ref="Q57:Q68">$D$20</f>
        <v>8</v>
      </c>
      <c r="R57" s="128">
        <f aca="true" t="shared" si="2" ref="R57:R68">D$18*J$15</f>
        <v>18</v>
      </c>
      <c r="S57" s="128">
        <f aca="true" t="shared" si="3" ref="S57:S68">D$13</f>
        <v>10</v>
      </c>
      <c r="T57" s="130">
        <f aca="true" t="shared" si="4" ref="T57:T68">P57*3600*0.1/(1.36*Q57*R57*S57)</f>
        <v>18.612132352941174</v>
      </c>
      <c r="U57" s="96"/>
      <c r="V57" s="96"/>
      <c r="W57" s="96"/>
      <c r="X57" s="96"/>
      <c r="Y57" s="96"/>
      <c r="Z57" s="96"/>
      <c r="AA57" s="96"/>
      <c r="AB57" s="96"/>
    </row>
    <row r="58" spans="1:28" ht="16.5" customHeight="1">
      <c r="A58" s="17"/>
      <c r="B58" s="131"/>
      <c r="C58" s="132"/>
      <c r="D58" s="21"/>
      <c r="E58" s="21"/>
      <c r="F58" s="133"/>
      <c r="G58" s="134"/>
      <c r="H58" s="18"/>
      <c r="I58" s="18"/>
      <c r="J58" s="18"/>
      <c r="K58" s="23"/>
      <c r="M58" s="82">
        <v>180</v>
      </c>
      <c r="N58" s="127">
        <v>50</v>
      </c>
      <c r="O58" s="128">
        <f aca="true" t="shared" si="5" ref="O58:O68">N58/100*M58</f>
        <v>90</v>
      </c>
      <c r="P58" s="129">
        <f t="shared" si="0"/>
        <v>67.5</v>
      </c>
      <c r="Q58" s="128">
        <f t="shared" si="1"/>
        <v>8</v>
      </c>
      <c r="R58" s="128">
        <f t="shared" si="2"/>
        <v>18</v>
      </c>
      <c r="S58" s="128">
        <f t="shared" si="3"/>
        <v>10</v>
      </c>
      <c r="T58" s="130">
        <f t="shared" si="4"/>
        <v>12.408088235294118</v>
      </c>
      <c r="U58" s="96"/>
      <c r="V58" s="96"/>
      <c r="W58" s="96"/>
      <c r="X58" s="96"/>
      <c r="Y58" s="96"/>
      <c r="Z58" s="96"/>
      <c r="AA58" s="96"/>
      <c r="AB58" s="96"/>
    </row>
    <row r="59" spans="1:28" ht="16.5" customHeight="1">
      <c r="A59" s="17"/>
      <c r="B59" s="200" t="s">
        <v>65</v>
      </c>
      <c r="C59" s="200"/>
      <c r="D59" s="200"/>
      <c r="E59" s="201" t="s">
        <v>118</v>
      </c>
      <c r="F59" s="201"/>
      <c r="G59" s="135"/>
      <c r="H59" s="18"/>
      <c r="I59" s="18"/>
      <c r="J59" s="18"/>
      <c r="K59" s="23"/>
      <c r="M59" s="82">
        <v>180</v>
      </c>
      <c r="N59" s="127">
        <v>25</v>
      </c>
      <c r="O59" s="128">
        <f t="shared" si="5"/>
        <v>45</v>
      </c>
      <c r="P59" s="129">
        <f t="shared" si="0"/>
        <v>33.75</v>
      </c>
      <c r="Q59" s="128">
        <f t="shared" si="1"/>
        <v>8</v>
      </c>
      <c r="R59" s="128">
        <f t="shared" si="2"/>
        <v>18</v>
      </c>
      <c r="S59" s="128">
        <f t="shared" si="3"/>
        <v>10</v>
      </c>
      <c r="T59" s="130">
        <f t="shared" si="4"/>
        <v>6.204044117647059</v>
      </c>
      <c r="U59" s="96"/>
      <c r="W59" s="96"/>
      <c r="X59" s="96"/>
      <c r="Y59" s="96"/>
      <c r="Z59" s="96"/>
      <c r="AA59" s="96"/>
      <c r="AB59" s="96"/>
    </row>
    <row r="60" spans="1:28" ht="16.5" customHeight="1">
      <c r="A60" s="17"/>
      <c r="B60" s="194" t="s">
        <v>105</v>
      </c>
      <c r="C60" s="195"/>
      <c r="D60" s="136" t="s">
        <v>104</v>
      </c>
      <c r="E60" s="118" t="s">
        <v>61</v>
      </c>
      <c r="F60" s="118" t="s">
        <v>59</v>
      </c>
      <c r="G60" s="135"/>
      <c r="H60" s="18"/>
      <c r="I60" s="158" t="s">
        <v>123</v>
      </c>
      <c r="J60" s="158"/>
      <c r="K60" s="23"/>
      <c r="M60" s="82">
        <v>150</v>
      </c>
      <c r="N60" s="127">
        <v>75</v>
      </c>
      <c r="O60" s="128">
        <f t="shared" si="5"/>
        <v>112.5</v>
      </c>
      <c r="P60" s="129">
        <f t="shared" si="0"/>
        <v>84.375</v>
      </c>
      <c r="Q60" s="128">
        <f t="shared" si="1"/>
        <v>8</v>
      </c>
      <c r="R60" s="128">
        <f t="shared" si="2"/>
        <v>18</v>
      </c>
      <c r="S60" s="128">
        <f t="shared" si="3"/>
        <v>10</v>
      </c>
      <c r="T60" s="130">
        <f t="shared" si="4"/>
        <v>15.510110294117647</v>
      </c>
      <c r="U60" s="96"/>
      <c r="W60" s="96"/>
      <c r="X60" s="96"/>
      <c r="Y60" s="96"/>
      <c r="Z60" s="96"/>
      <c r="AA60" s="96"/>
      <c r="AB60" s="96"/>
    </row>
    <row r="61" spans="1:28" ht="16.5" customHeight="1">
      <c r="A61" s="17"/>
      <c r="B61" s="34"/>
      <c r="C61" s="34" t="s">
        <v>103</v>
      </c>
      <c r="D61" s="137">
        <f>R47</f>
        <v>14.967058823529412</v>
      </c>
      <c r="E61" s="138">
        <f>IF(AD69=TRUE,D61+D42,D61*0)</f>
        <v>28.20235294117647</v>
      </c>
      <c r="F61" s="138">
        <f>E61*$D$27</f>
        <v>9.216455209534795</v>
      </c>
      <c r="G61" s="139">
        <f>IF(AD69=TRUE,F61,F61*0)</f>
        <v>9.216455209534795</v>
      </c>
      <c r="H61" s="18"/>
      <c r="I61" s="140">
        <v>560</v>
      </c>
      <c r="J61" s="141" t="s">
        <v>124</v>
      </c>
      <c r="K61" s="23"/>
      <c r="M61" s="82">
        <v>150</v>
      </c>
      <c r="N61" s="127">
        <v>50</v>
      </c>
      <c r="O61" s="128">
        <f t="shared" si="5"/>
        <v>75</v>
      </c>
      <c r="P61" s="129">
        <f t="shared" si="0"/>
        <v>56.25</v>
      </c>
      <c r="Q61" s="128">
        <f t="shared" si="1"/>
        <v>8</v>
      </c>
      <c r="R61" s="128">
        <f t="shared" si="2"/>
        <v>18</v>
      </c>
      <c r="S61" s="128">
        <f t="shared" si="3"/>
        <v>10</v>
      </c>
      <c r="T61" s="130">
        <f t="shared" si="4"/>
        <v>10.340073529411764</v>
      </c>
      <c r="U61" s="96"/>
      <c r="W61" s="96"/>
      <c r="X61" s="96"/>
      <c r="Y61" s="96"/>
      <c r="Z61" s="96"/>
      <c r="AA61" s="96"/>
      <c r="AB61" s="96"/>
    </row>
    <row r="62" spans="1:28" ht="16.5" customHeight="1">
      <c r="A62" s="17"/>
      <c r="B62" s="34"/>
      <c r="C62" s="34" t="s">
        <v>102</v>
      </c>
      <c r="D62" s="137">
        <v>0.9</v>
      </c>
      <c r="E62" s="138">
        <f>IF(AD70=TRUE,D62+D42,D62*0)</f>
        <v>0</v>
      </c>
      <c r="F62" s="138">
        <f>E62*$D$27</f>
        <v>0</v>
      </c>
      <c r="G62" s="142">
        <f>IF(AD70=TRUE,F62,F62*0)</f>
        <v>0</v>
      </c>
      <c r="H62" s="18"/>
      <c r="I62" s="18"/>
      <c r="J62" s="18"/>
      <c r="K62" s="23"/>
      <c r="M62" s="82">
        <v>150</v>
      </c>
      <c r="N62" s="127">
        <v>25</v>
      </c>
      <c r="O62" s="128">
        <f t="shared" si="5"/>
        <v>37.5</v>
      </c>
      <c r="P62" s="129">
        <f t="shared" si="0"/>
        <v>28.125</v>
      </c>
      <c r="Q62" s="128">
        <f t="shared" si="1"/>
        <v>8</v>
      </c>
      <c r="R62" s="128">
        <f t="shared" si="2"/>
        <v>18</v>
      </c>
      <c r="S62" s="128">
        <f t="shared" si="3"/>
        <v>10</v>
      </c>
      <c r="T62" s="130">
        <f t="shared" si="4"/>
        <v>5.170036764705882</v>
      </c>
      <c r="U62" s="96"/>
      <c r="W62" s="96"/>
      <c r="X62" s="96"/>
      <c r="Y62" s="96"/>
      <c r="Z62" s="96"/>
      <c r="AA62" s="96"/>
      <c r="AB62" s="96"/>
    </row>
    <row r="63" spans="1:28" ht="16.5" customHeight="1">
      <c r="A63" s="17"/>
      <c r="B63" s="18"/>
      <c r="C63" s="132"/>
      <c r="D63" s="21"/>
      <c r="E63" s="19"/>
      <c r="F63" s="143"/>
      <c r="G63" s="135"/>
      <c r="H63" s="18"/>
      <c r="I63" s="18"/>
      <c r="J63" s="18"/>
      <c r="K63" s="23"/>
      <c r="M63" s="82">
        <v>120</v>
      </c>
      <c r="N63" s="127">
        <v>75</v>
      </c>
      <c r="O63" s="128">
        <f t="shared" si="5"/>
        <v>90</v>
      </c>
      <c r="P63" s="129">
        <f t="shared" si="0"/>
        <v>67.5</v>
      </c>
      <c r="Q63" s="128">
        <f t="shared" si="1"/>
        <v>8</v>
      </c>
      <c r="R63" s="128">
        <f t="shared" si="2"/>
        <v>18</v>
      </c>
      <c r="S63" s="128">
        <f t="shared" si="3"/>
        <v>10</v>
      </c>
      <c r="T63" s="130">
        <f t="shared" si="4"/>
        <v>12.408088235294118</v>
      </c>
      <c r="U63" s="96"/>
      <c r="W63" s="96"/>
      <c r="X63" s="96"/>
      <c r="Y63" s="96"/>
      <c r="Z63" s="96"/>
      <c r="AA63" s="96"/>
      <c r="AB63" s="96"/>
    </row>
    <row r="64" spans="1:28" ht="16.5" customHeight="1">
      <c r="A64" s="17"/>
      <c r="B64" s="202" t="s">
        <v>119</v>
      </c>
      <c r="C64" s="203"/>
      <c r="D64" s="204"/>
      <c r="E64" s="205" t="s">
        <v>62</v>
      </c>
      <c r="F64" s="205"/>
      <c r="G64" s="135"/>
      <c r="H64" s="18"/>
      <c r="I64" s="18"/>
      <c r="J64" s="18"/>
      <c r="K64" s="23"/>
      <c r="M64" s="82">
        <v>120</v>
      </c>
      <c r="N64" s="127">
        <v>50</v>
      </c>
      <c r="O64" s="128">
        <f t="shared" si="5"/>
        <v>60</v>
      </c>
      <c r="P64" s="129">
        <f t="shared" si="0"/>
        <v>45</v>
      </c>
      <c r="Q64" s="128">
        <f t="shared" si="1"/>
        <v>8</v>
      </c>
      <c r="R64" s="128">
        <f t="shared" si="2"/>
        <v>18</v>
      </c>
      <c r="S64" s="128">
        <f t="shared" si="3"/>
        <v>10</v>
      </c>
      <c r="T64" s="130">
        <f t="shared" si="4"/>
        <v>8.272058823529411</v>
      </c>
      <c r="U64" s="96"/>
      <c r="W64" s="96"/>
      <c r="X64" s="96"/>
      <c r="Y64" s="96"/>
      <c r="Z64" s="96"/>
      <c r="AA64" s="96"/>
      <c r="AB64" s="96"/>
    </row>
    <row r="65" spans="1:21" ht="16.5" customHeight="1">
      <c r="A65" s="17"/>
      <c r="B65" s="194" t="s">
        <v>105</v>
      </c>
      <c r="C65" s="195"/>
      <c r="D65" s="144" t="s">
        <v>64</v>
      </c>
      <c r="E65" s="196" t="s">
        <v>59</v>
      </c>
      <c r="F65" s="197"/>
      <c r="G65" s="29"/>
      <c r="H65" s="18"/>
      <c r="I65" s="18"/>
      <c r="J65" s="18"/>
      <c r="K65" s="23"/>
      <c r="M65" s="82">
        <v>120</v>
      </c>
      <c r="N65" s="127">
        <v>25</v>
      </c>
      <c r="O65" s="128">
        <f t="shared" si="5"/>
        <v>30</v>
      </c>
      <c r="P65" s="129">
        <f t="shared" si="0"/>
        <v>22.5</v>
      </c>
      <c r="Q65" s="128">
        <f t="shared" si="1"/>
        <v>8</v>
      </c>
      <c r="R65" s="128">
        <f t="shared" si="2"/>
        <v>18</v>
      </c>
      <c r="S65" s="128">
        <f t="shared" si="3"/>
        <v>10</v>
      </c>
      <c r="T65" s="130">
        <f t="shared" si="4"/>
        <v>4.136029411764706</v>
      </c>
      <c r="U65" s="96"/>
    </row>
    <row r="66" spans="1:21" ht="16.5" customHeight="1">
      <c r="A66" s="17"/>
      <c r="B66" s="34"/>
      <c r="C66" s="34" t="str">
        <f>IF(D46=J50,"Baja","Alta")</f>
        <v>Baja</v>
      </c>
      <c r="D66" s="145">
        <f>D46*D28</f>
        <v>306</v>
      </c>
      <c r="E66" s="198">
        <f>+F57+$G$61+$G$62</f>
        <v>14.521112072279893</v>
      </c>
      <c r="F66" s="199" t="e">
        <f>$D$26*($D$47/$D$49)+$D$47/($D$50*D66*$D$26)+(($D$47*0.006*$D$51)/(D66*$D$26))+$D$47*($D$52+$D$53)/(100*D66*$D$26)+($D$54/$D$26)+#REF!</f>
        <v>#DIV/0!</v>
      </c>
      <c r="G66" s="29"/>
      <c r="H66" s="18"/>
      <c r="I66" s="18"/>
      <c r="J66" s="18"/>
      <c r="K66" s="23"/>
      <c r="M66" s="82">
        <v>90</v>
      </c>
      <c r="N66" s="127">
        <v>75</v>
      </c>
      <c r="O66" s="128">
        <f t="shared" si="5"/>
        <v>67.5</v>
      </c>
      <c r="P66" s="129">
        <f t="shared" si="0"/>
        <v>50.625</v>
      </c>
      <c r="Q66" s="128">
        <f t="shared" si="1"/>
        <v>8</v>
      </c>
      <c r="R66" s="128">
        <f t="shared" si="2"/>
        <v>18</v>
      </c>
      <c r="S66" s="128">
        <f t="shared" si="3"/>
        <v>10</v>
      </c>
      <c r="T66" s="130">
        <f t="shared" si="4"/>
        <v>9.306066176470587</v>
      </c>
      <c r="U66" s="96"/>
    </row>
    <row r="67" spans="1:21" ht="16.5" customHeight="1">
      <c r="A67" s="17"/>
      <c r="B67" s="18"/>
      <c r="C67" s="146"/>
      <c r="D67" s="21"/>
      <c r="E67" s="21"/>
      <c r="F67" s="147"/>
      <c r="G67" s="29"/>
      <c r="H67" s="18"/>
      <c r="I67" s="18"/>
      <c r="J67" s="18"/>
      <c r="K67" s="23"/>
      <c r="M67" s="82">
        <v>90</v>
      </c>
      <c r="N67" s="127">
        <v>50</v>
      </c>
      <c r="O67" s="128">
        <f t="shared" si="5"/>
        <v>45</v>
      </c>
      <c r="P67" s="129">
        <f t="shared" si="0"/>
        <v>33.75</v>
      </c>
      <c r="Q67" s="128">
        <f t="shared" si="1"/>
        <v>8</v>
      </c>
      <c r="R67" s="128">
        <f t="shared" si="2"/>
        <v>18</v>
      </c>
      <c r="S67" s="128">
        <f t="shared" si="3"/>
        <v>10</v>
      </c>
      <c r="T67" s="130">
        <f t="shared" si="4"/>
        <v>6.204044117647059</v>
      </c>
      <c r="U67" s="96"/>
    </row>
    <row r="68" spans="1:20" ht="16.5" customHeight="1">
      <c r="A68" s="17"/>
      <c r="B68" s="18"/>
      <c r="C68" s="132"/>
      <c r="D68" s="21"/>
      <c r="E68" s="19"/>
      <c r="F68" s="147"/>
      <c r="G68" s="135"/>
      <c r="H68" s="18"/>
      <c r="I68" s="18"/>
      <c r="J68" s="18"/>
      <c r="K68" s="23"/>
      <c r="M68" s="82">
        <v>90</v>
      </c>
      <c r="N68" s="127">
        <v>25</v>
      </c>
      <c r="O68" s="128">
        <f t="shared" si="5"/>
        <v>22.5</v>
      </c>
      <c r="P68" s="129">
        <f t="shared" si="0"/>
        <v>16.875</v>
      </c>
      <c r="Q68" s="128">
        <f t="shared" si="1"/>
        <v>8</v>
      </c>
      <c r="R68" s="128">
        <f t="shared" si="2"/>
        <v>18</v>
      </c>
      <c r="S68" s="128">
        <f t="shared" si="3"/>
        <v>10</v>
      </c>
      <c r="T68" s="130">
        <f t="shared" si="4"/>
        <v>3.1020220588235294</v>
      </c>
    </row>
    <row r="69" spans="1:30" ht="16.5" customHeight="1">
      <c r="A69" s="148"/>
      <c r="B69" s="149"/>
      <c r="C69" s="149"/>
      <c r="D69" s="150"/>
      <c r="E69" s="151"/>
      <c r="F69" s="152"/>
      <c r="G69" s="153"/>
      <c r="H69" s="154"/>
      <c r="I69" s="154"/>
      <c r="J69" s="154"/>
      <c r="K69" s="155"/>
      <c r="M69" s="83"/>
      <c r="N69" s="83"/>
      <c r="AD69" s="12" t="b">
        <v>1</v>
      </c>
    </row>
    <row r="70" spans="7:30" ht="16.5" customHeight="1">
      <c r="G70" s="156"/>
      <c r="K70" s="157"/>
      <c r="M70" s="83"/>
      <c r="N70" s="83"/>
      <c r="AD70" s="12" t="b">
        <v>0</v>
      </c>
    </row>
    <row r="71" spans="11:14" ht="16.5" customHeight="1">
      <c r="K71" s="157"/>
      <c r="M71" s="83"/>
      <c r="N71" s="83"/>
    </row>
    <row r="72" spans="13:14" ht="16.5" customHeight="1">
      <c r="M72" s="83"/>
      <c r="N72" s="83"/>
    </row>
    <row r="73" spans="13:14" ht="16.5" customHeight="1">
      <c r="M73" s="83"/>
      <c r="N73" s="83"/>
    </row>
    <row r="74" spans="13:30" ht="16.5" customHeight="1">
      <c r="M74" s="83"/>
      <c r="N74" s="83"/>
      <c r="AD74" s="12" t="b">
        <v>1</v>
      </c>
    </row>
    <row r="75" spans="13:30" ht="16.5" customHeight="1">
      <c r="M75" s="83"/>
      <c r="N75" s="83"/>
      <c r="AD75" s="12" t="b">
        <v>0</v>
      </c>
    </row>
    <row r="76" spans="13:14" ht="16.5" customHeight="1">
      <c r="M76" s="83"/>
      <c r="N76" s="83"/>
    </row>
    <row r="77" spans="13:14" ht="16.5" customHeight="1">
      <c r="M77" s="83"/>
      <c r="N77" s="83"/>
    </row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</sheetData>
  <sheetProtection/>
  <mergeCells count="89">
    <mergeCell ref="E66:F66"/>
    <mergeCell ref="B59:D59"/>
    <mergeCell ref="E59:F59"/>
    <mergeCell ref="B60:C60"/>
    <mergeCell ref="B64:D64"/>
    <mergeCell ref="E64:F64"/>
    <mergeCell ref="Q55:Q56"/>
    <mergeCell ref="M10:N10"/>
    <mergeCell ref="B65:C65"/>
    <mergeCell ref="E65:F65"/>
    <mergeCell ref="M19:M27"/>
    <mergeCell ref="N19:N21"/>
    <mergeCell ref="P20:P21"/>
    <mergeCell ref="N22:N24"/>
    <mergeCell ref="P23:P24"/>
    <mergeCell ref="T55:T56"/>
    <mergeCell ref="R30:R31"/>
    <mergeCell ref="R33:R34"/>
    <mergeCell ref="R36:R37"/>
    <mergeCell ref="R55:R56"/>
    <mergeCell ref="S55:S56"/>
    <mergeCell ref="M39:R40"/>
    <mergeCell ref="Q44:R45"/>
    <mergeCell ref="M47:M48"/>
    <mergeCell ref="Q33:Q34"/>
    <mergeCell ref="F45:G45"/>
    <mergeCell ref="R20:R21"/>
    <mergeCell ref="R23:R24"/>
    <mergeCell ref="R26:R27"/>
    <mergeCell ref="Q20:Q21"/>
    <mergeCell ref="Q23:Q24"/>
    <mergeCell ref="Q26:Q27"/>
    <mergeCell ref="Q30:Q31"/>
    <mergeCell ref="O55:O56"/>
    <mergeCell ref="Q36:Q37"/>
    <mergeCell ref="D11:H11"/>
    <mergeCell ref="I55:J55"/>
    <mergeCell ref="I18:J18"/>
    <mergeCell ref="I22:J22"/>
    <mergeCell ref="I27:J27"/>
    <mergeCell ref="I32:J32"/>
    <mergeCell ref="I43:J43"/>
    <mergeCell ref="I49:J49"/>
    <mergeCell ref="B13:C13"/>
    <mergeCell ref="B14:C14"/>
    <mergeCell ref="B15:C15"/>
    <mergeCell ref="B17:C17"/>
    <mergeCell ref="P55:P56"/>
    <mergeCell ref="M42:O42"/>
    <mergeCell ref="M43:M44"/>
    <mergeCell ref="M45:M46"/>
    <mergeCell ref="M55:M56"/>
    <mergeCell ref="N55:N56"/>
    <mergeCell ref="B27:C27"/>
    <mergeCell ref="B30:C30"/>
    <mergeCell ref="B31:C31"/>
    <mergeCell ref="B19:C19"/>
    <mergeCell ref="B20:C20"/>
    <mergeCell ref="B21:C21"/>
    <mergeCell ref="B25:C25"/>
    <mergeCell ref="B23:C23"/>
    <mergeCell ref="P26:P27"/>
    <mergeCell ref="M29:M37"/>
    <mergeCell ref="N29:N31"/>
    <mergeCell ref="P30:P31"/>
    <mergeCell ref="N32:N34"/>
    <mergeCell ref="P33:P34"/>
    <mergeCell ref="N25:N27"/>
    <mergeCell ref="N35:N37"/>
    <mergeCell ref="B41:C41"/>
    <mergeCell ref="B18:C18"/>
    <mergeCell ref="B52:C52"/>
    <mergeCell ref="B53:C53"/>
    <mergeCell ref="B33:C33"/>
    <mergeCell ref="B34:C34"/>
    <mergeCell ref="B37:C37"/>
    <mergeCell ref="B39:C39"/>
    <mergeCell ref="B36:C36"/>
    <mergeCell ref="B26:C26"/>
    <mergeCell ref="I60:J60"/>
    <mergeCell ref="P36:P37"/>
    <mergeCell ref="B54:C54"/>
    <mergeCell ref="B55:C55"/>
    <mergeCell ref="B46:C46"/>
    <mergeCell ref="B48:C48"/>
    <mergeCell ref="I37:J37"/>
    <mergeCell ref="B50:C50"/>
    <mergeCell ref="B51:C51"/>
    <mergeCell ref="B45:C45"/>
  </mergeCells>
  <conditionalFormatting sqref="J33:J35 M38">
    <cfRule type="cellIs" priority="1" dxfId="0" operator="equal" stopIfTrue="1">
      <formula>$D$30</formula>
    </cfRule>
  </conditionalFormatting>
  <conditionalFormatting sqref="J38:J41">
    <cfRule type="cellIs" priority="2" dxfId="0" operator="equal" stopIfTrue="1">
      <formula>$D$34</formula>
    </cfRule>
  </conditionalFormatting>
  <conditionalFormatting sqref="L22:L24 J14:K16">
    <cfRule type="cellIs" priority="3" dxfId="0" operator="equal" stopIfTrue="1">
      <formula>$D$17</formula>
    </cfRule>
  </conditionalFormatting>
  <conditionalFormatting sqref="L27:L29 J19:K21">
    <cfRule type="cellIs" priority="4" dxfId="0" operator="equal" stopIfTrue="1">
      <formula>$D$13</formula>
    </cfRule>
  </conditionalFormatting>
  <conditionalFormatting sqref="J28:J30">
    <cfRule type="cellIs" priority="5" dxfId="0" operator="equal" stopIfTrue="1">
      <formula>$D$26</formula>
    </cfRule>
  </conditionalFormatting>
  <conditionalFormatting sqref="J23:J26 L31:L33 K23:K25">
    <cfRule type="cellIs" priority="6" dxfId="0" operator="equal" stopIfTrue="1">
      <formula>$D$14</formula>
    </cfRule>
  </conditionalFormatting>
  <conditionalFormatting sqref="J45">
    <cfRule type="expression" priority="7" dxfId="0" stopIfTrue="1">
      <formula>$D$30=25</formula>
    </cfRule>
  </conditionalFormatting>
  <conditionalFormatting sqref="J46">
    <cfRule type="expression" priority="8" dxfId="0" stopIfTrue="1">
      <formula>$D$30=50</formula>
    </cfRule>
  </conditionalFormatting>
  <conditionalFormatting sqref="J47">
    <cfRule type="expression" priority="9" dxfId="0" stopIfTrue="1">
      <formula>$D$30=75</formula>
    </cfRule>
  </conditionalFormatting>
  <conditionalFormatting sqref="C61">
    <cfRule type="expression" priority="10" dxfId="0" stopIfTrue="1">
      <formula>$G$61&gt;0</formula>
    </cfRule>
  </conditionalFormatting>
  <conditionalFormatting sqref="C62">
    <cfRule type="expression" priority="11" dxfId="0" stopIfTrue="1">
      <formula>$G$62&gt;0</formula>
    </cfRule>
  </conditionalFormatting>
  <conditionalFormatting sqref="J50:J51">
    <cfRule type="cellIs" priority="12" dxfId="0" operator="equal" stopIfTrue="1">
      <formula>$D$46</formula>
    </cfRule>
  </conditionalFormatting>
  <conditionalFormatting sqref="C66">
    <cfRule type="expression" priority="13" dxfId="0" stopIfTrue="1">
      <formula>$E$68&gt;0</formula>
    </cfRule>
  </conditionalFormatting>
  <conditionalFormatting sqref="L36:L38 K28:K30">
    <cfRule type="cellIs" priority="14" dxfId="0" operator="equal" stopIfTrue="1">
      <formula>$D$25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79.57421875" style="2" customWidth="1"/>
  </cols>
  <sheetData>
    <row r="1" s="1" customFormat="1" ht="99.75" customHeight="1">
      <c r="A1" s="5"/>
    </row>
    <row r="2" spans="1:15" ht="12.75">
      <c r="A2" s="6" t="s">
        <v>144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5" t="s">
        <v>120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5" t="s">
        <v>141</v>
      </c>
      <c r="B5" s="1"/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5" t="s">
        <v>145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5" t="s">
        <v>125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8.5" customHeight="1">
      <c r="A8" s="5" t="s">
        <v>126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8.5" customHeight="1">
      <c r="A9" s="5" t="s">
        <v>127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8.5" customHeight="1">
      <c r="A10" s="5" t="s">
        <v>128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8.5" customHeight="1">
      <c r="A11" s="5" t="s">
        <v>129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42.75" customHeight="1">
      <c r="A12" s="5" t="s">
        <v>130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8.5" customHeight="1">
      <c r="A13" s="5" t="s">
        <v>131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8.5" customHeight="1">
      <c r="A14" s="5" t="s">
        <v>132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5" t="s">
        <v>121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5" t="s">
        <v>139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8.5" customHeight="1">
      <c r="A18" s="5" t="s">
        <v>133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5" t="s">
        <v>142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5" t="s">
        <v>134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5" t="s">
        <v>135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7" t="s">
        <v>147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5" t="s">
        <v>136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5" t="s">
        <v>137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5" t="s">
        <v>143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8.5" customHeight="1">
      <c r="A26" s="5" t="s">
        <v>138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8.5" customHeight="1">
      <c r="A27" s="5" t="s">
        <v>122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ht="12.75">
      <c r="A30" s="4"/>
    </row>
  </sheetData>
  <sheetProtection/>
  <printOptions horizontalCentered="1"/>
  <pageMargins left="0.3937007874015748" right="0.3937007874015748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Martín</dc:creator>
  <cp:keywords/>
  <dc:description/>
  <cp:lastModifiedBy>LM</cp:lastModifiedBy>
  <cp:lastPrinted>2008-09-10T13:39:48Z</cp:lastPrinted>
  <dcterms:created xsi:type="dcterms:W3CDTF">2006-04-04T09:19:27Z</dcterms:created>
  <dcterms:modified xsi:type="dcterms:W3CDTF">2014-06-27T07:53:22Z</dcterms:modified>
  <cp:category/>
  <cp:version/>
  <cp:contentType/>
  <cp:contentStatus/>
</cp:coreProperties>
</file>