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" sheetId="1" r:id="rId1"/>
    <sheet name="4.2" sheetId="2" r:id="rId2"/>
    <sheet name="4.3" sheetId="3" r:id="rId3"/>
    <sheet name="4.4" sheetId="4" r:id="rId4"/>
    <sheet name="4.5" sheetId="5" r:id="rId5"/>
    <sheet name="4.6" sheetId="6" r:id="rId6"/>
    <sheet name="4.7" sheetId="7" r:id="rId7"/>
    <sheet name="4.8" sheetId="8" r:id="rId8"/>
    <sheet name="4.9" sheetId="9" r:id="rId9"/>
    <sheet name="4.10" sheetId="10" r:id="rId10"/>
    <sheet name="4.11" sheetId="11" r:id="rId11"/>
    <sheet name="4.12" sheetId="12" r:id="rId12"/>
    <sheet name="4.13" sheetId="13" r:id="rId13"/>
    <sheet name="4.14" sheetId="14" r:id="rId14"/>
    <sheet name="4.15" sheetId="15" r:id="rId15"/>
    <sheet name="4.16" sheetId="16" r:id="rId16"/>
    <sheet name="4.17" sheetId="17" r:id="rId17"/>
    <sheet name="4.18" sheetId="18" r:id="rId18"/>
    <sheet name="4.19" sheetId="19" r:id="rId19"/>
    <sheet name="4.20" sheetId="20" r:id="rId20"/>
    <sheet name="4.21" sheetId="21" r:id="rId21"/>
    <sheet name="4.22" sheetId="22" r:id="rId22"/>
    <sheet name="4.23" sheetId="23" r:id="rId23"/>
  </sheets>
  <definedNames>
    <definedName name="_xlnm.Print_Area" localSheetId="0">'4.1'!$A$1:$G$33</definedName>
    <definedName name="_xlnm.Print_Area" localSheetId="9">'4.10'!$A$1:$I$32</definedName>
    <definedName name="_xlnm.Print_Area" localSheetId="10">'4.11'!$A$1:$I$40</definedName>
    <definedName name="_xlnm.Print_Area" localSheetId="11">'4.12'!$A$1:$I$32</definedName>
    <definedName name="_xlnm.Print_Area" localSheetId="12">'4.13'!$A$1:$I$39</definedName>
    <definedName name="_xlnm.Print_Area" localSheetId="13">'4.14'!$A$1:$I$36</definedName>
    <definedName name="_xlnm.Print_Area" localSheetId="14">'4.15'!$A$1:$I$42</definedName>
    <definedName name="_xlnm.Print_Area" localSheetId="15">'4.16'!$A$1:$I$40</definedName>
    <definedName name="_xlnm.Print_Area" localSheetId="16">'4.17'!$A$1:$I$38</definedName>
    <definedName name="_xlnm.Print_Area" localSheetId="17">'4.18'!$A$1:$H$46</definedName>
    <definedName name="_xlnm.Print_Area" localSheetId="18">'4.19'!$A$1:$H$43</definedName>
    <definedName name="_xlnm.Print_Area" localSheetId="1">'4.2'!$A$1:$F$28</definedName>
    <definedName name="_xlnm.Print_Area" localSheetId="19">'4.20'!$A$1:$J$67</definedName>
    <definedName name="_xlnm.Print_Area" localSheetId="20">'4.21'!$A$1:$I$33</definedName>
    <definedName name="_xlnm.Print_Area" localSheetId="21">'4.22'!$A:$IV</definedName>
    <definedName name="_xlnm.Print_Area" localSheetId="2">'4.3'!$A$1:$I$35</definedName>
    <definedName name="_xlnm.Print_Area" localSheetId="3">'4.4'!$A$1:$I$41</definedName>
    <definedName name="_xlnm.Print_Area" localSheetId="4">'4.5'!$A$1:$H$68</definedName>
    <definedName name="_xlnm.Print_Area" localSheetId="5">'4.6'!$A$1:$I$33</definedName>
    <definedName name="_xlnm.Print_Area" localSheetId="6">'4.7'!$A$1:$I$62</definedName>
    <definedName name="_xlnm.Print_Area" localSheetId="7">'4.8'!$A$1:$G$32</definedName>
    <definedName name="_xlnm.Print_Area" localSheetId="8">'4.9'!$A$1:$G$63</definedName>
    <definedName name="TABLE" localSheetId="9">'4.10'!$C$34:$H$35</definedName>
    <definedName name="TABLE" localSheetId="2">'4.3'!#REF!</definedName>
    <definedName name="TABLE_2" localSheetId="2">'4.3'!#REF!</definedName>
    <definedName name="TABLE_3" localSheetId="2">'4.3'!#REF!</definedName>
    <definedName name="TABLE_4" localSheetId="2">'4.3'!$C$32:$F$34</definedName>
    <definedName name="TABLE_5" localSheetId="2">'4.3'!$D$32:$E$33</definedName>
    <definedName name="TABLE_6" localSheetId="2">'4.3'!$D$31:$G$33</definedName>
    <definedName name="TABLE_7" localSheetId="2">'4.3'!$I$31:$L$34</definedName>
  </definedNames>
  <calcPr fullCalcOnLoad="1"/>
</workbook>
</file>

<file path=xl/sharedStrings.xml><?xml version="1.0" encoding="utf-8"?>
<sst xmlns="http://schemas.openxmlformats.org/spreadsheetml/2006/main" count="1261" uniqueCount="283">
  <si>
    <t xml:space="preserve">Unidad </t>
  </si>
  <si>
    <t xml:space="preserve">       Censos Agrarios</t>
  </si>
  <si>
    <t>Caracteristicas</t>
  </si>
  <si>
    <t xml:space="preserve">de </t>
  </si>
  <si>
    <t>medida</t>
  </si>
  <si>
    <t>1962</t>
  </si>
  <si>
    <t>1972</t>
  </si>
  <si>
    <t>1982</t>
  </si>
  <si>
    <t>1989</t>
  </si>
  <si>
    <t>Nº total de explotaciones</t>
  </si>
  <si>
    <t>Miles</t>
  </si>
  <si>
    <t>Superficie total censada</t>
  </si>
  <si>
    <t>Superficie total regada</t>
  </si>
  <si>
    <t xml:space="preserve">Efectivos ganaderos </t>
  </si>
  <si>
    <t>Utilización del trabajo</t>
  </si>
  <si>
    <t>1987</t>
  </si>
  <si>
    <t>1993</t>
  </si>
  <si>
    <t>1995</t>
  </si>
  <si>
    <t>1997</t>
  </si>
  <si>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</si>
  <si>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</si>
  <si>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</si>
  <si>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</si>
  <si>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</si>
  <si>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</si>
  <si>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</si>
  <si>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</si>
  <si>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</si>
  <si>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</si>
  <si>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</si>
  <si>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</si>
  <si>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</si>
  <si>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</si>
  <si>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</si>
  <si>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</si>
  <si>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</si>
  <si>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</si>
  <si>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</si>
  <si>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</si>
  <si>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</si>
  <si>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</si>
  <si>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</si>
  <si>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</si>
  <si>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</si>
  <si>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</si>
  <si>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</si>
  <si>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</si>
  <si>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</si>
  <si>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</si>
  <si>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Herbaceos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</si>
  <si>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</si>
  <si>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</si>
  <si>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</si>
  <si>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</si>
  <si>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</si>
  <si>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</si>
  <si>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</si>
  <si>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</si>
  <si>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</si>
  <si>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</si>
  <si>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 xml:space="preserve">           Regadio</t>
  </si>
  <si>
    <t xml:space="preserve">           Erial</t>
  </si>
  <si>
    <t xml:space="preserve">        Espartizal</t>
  </si>
  <si>
    <t xml:space="preserve">        Matorral</t>
  </si>
  <si>
    <t>Especies arboreas forestales</t>
  </si>
  <si>
    <t xml:space="preserve">    Otras superficies</t>
  </si>
  <si>
    <t>Explotaciones sin tierras</t>
  </si>
  <si>
    <t xml:space="preserve">         Con SAU</t>
  </si>
  <si>
    <t>Margen Bruto</t>
  </si>
  <si>
    <t>(UDES)</t>
  </si>
  <si>
    <t>&lt; 2</t>
  </si>
  <si>
    <t>2a &lt; 6</t>
  </si>
  <si>
    <t>6 a&lt; 12</t>
  </si>
  <si>
    <t>12 a&lt; 40</t>
  </si>
  <si>
    <t>40 a &lt; 100</t>
  </si>
  <si>
    <t>&gt;= 100</t>
  </si>
  <si>
    <t xml:space="preserve">Número </t>
  </si>
  <si>
    <t xml:space="preserve">total de </t>
  </si>
  <si>
    <t>explotaciones</t>
  </si>
  <si>
    <t>6a &lt; 12</t>
  </si>
  <si>
    <t>Cereales</t>
  </si>
  <si>
    <t>Cultivos</t>
  </si>
  <si>
    <t xml:space="preserve">Frutales </t>
  </si>
  <si>
    <t>Bovinos</t>
  </si>
  <si>
    <t>Oleaginosas</t>
  </si>
  <si>
    <t>agrícolas</t>
  </si>
  <si>
    <t>Horticultura</t>
  </si>
  <si>
    <t>Viticultura</t>
  </si>
  <si>
    <t>y cítricos</t>
  </si>
  <si>
    <t>Olivar</t>
  </si>
  <si>
    <t>leñosos</t>
  </si>
  <si>
    <t>Leguminosas</t>
  </si>
  <si>
    <t>diversos</t>
  </si>
  <si>
    <t>leche</t>
  </si>
  <si>
    <t>(13)</t>
  </si>
  <si>
    <t>(14)</t>
  </si>
  <si>
    <t>(20)</t>
  </si>
  <si>
    <t>(31)</t>
  </si>
  <si>
    <t>(32)</t>
  </si>
  <si>
    <t>(33)</t>
  </si>
  <si>
    <t>(34)</t>
  </si>
  <si>
    <t>(41)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</si>
  <si>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</si>
  <si>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</si>
  <si>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</si>
  <si>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</si>
  <si>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</si>
  <si>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(1)</t>
  </si>
  <si>
    <t>(2)</t>
  </si>
  <si>
    <t>(3)</t>
  </si>
  <si>
    <t>(4)</t>
  </si>
  <si>
    <t>(5)</t>
  </si>
  <si>
    <t>(6)</t>
  </si>
  <si>
    <t>(7)</t>
  </si>
  <si>
    <t>(8)</t>
  </si>
  <si>
    <t>Alemania</t>
  </si>
  <si>
    <t>Austria</t>
  </si>
  <si>
    <t>Bélgica</t>
  </si>
  <si>
    <t>Dinamarca</t>
  </si>
  <si>
    <t>España</t>
  </si>
  <si>
    <t>Finlandia</t>
  </si>
  <si>
    <t>Francia</t>
  </si>
  <si>
    <t>Grecia</t>
  </si>
  <si>
    <t>Holanda</t>
  </si>
  <si>
    <t>Irlanda</t>
  </si>
  <si>
    <t>Italia</t>
  </si>
  <si>
    <t>Luxemburgo</t>
  </si>
  <si>
    <t>Portugal</t>
  </si>
  <si>
    <t>Reino Unido</t>
  </si>
  <si>
    <t>Suecia</t>
  </si>
  <si>
    <t>&lt;4</t>
  </si>
  <si>
    <t>4&lt;16</t>
  </si>
  <si>
    <t>16&lt;40</t>
  </si>
  <si>
    <t>40&lt;100</t>
  </si>
  <si>
    <t xml:space="preserve"> Sin tierras</t>
  </si>
  <si>
    <t xml:space="preserve"> Con tierras</t>
  </si>
  <si>
    <t xml:space="preserve"> Tierras labradas</t>
  </si>
  <si>
    <t xml:space="preserve"> Tierras no labradas</t>
  </si>
  <si>
    <t xml:space="preserve"> Prados o praderas permanentes</t>
  </si>
  <si>
    <t>ESTRUCTURA DE LAS EXPLOTACIONES AGRARIAS</t>
  </si>
  <si>
    <t xml:space="preserve"> y superficie agrícola utilizada (SAU)</t>
  </si>
  <si>
    <t>Grupo de cultivos</t>
  </si>
  <si>
    <t>–</t>
  </si>
  <si>
    <t>Margen Bruto Total</t>
  </si>
  <si>
    <t>-</t>
  </si>
  <si>
    <t xml:space="preserve">Fuente: I.N.E. </t>
  </si>
  <si>
    <t>ST(Ha.)</t>
  </si>
  <si>
    <t>Nº total de</t>
  </si>
  <si>
    <t>Total de tierras labradas</t>
  </si>
  <si>
    <t>Nº de explotaciones</t>
  </si>
  <si>
    <t xml:space="preserve">Total </t>
  </si>
  <si>
    <t xml:space="preserve">  Total </t>
  </si>
  <si>
    <t xml:space="preserve">  Total</t>
  </si>
  <si>
    <t>Nº de cabezas</t>
  </si>
  <si>
    <t xml:space="preserve">     Total de explotaciones</t>
  </si>
  <si>
    <t>Nº de</t>
  </si>
  <si>
    <t>Miles de (Ha)</t>
  </si>
  <si>
    <t xml:space="preserve">Nº total </t>
  </si>
  <si>
    <t>(Ha)</t>
  </si>
  <si>
    <t>ST(Ha)</t>
  </si>
  <si>
    <t>SAU (Ha)</t>
  </si>
  <si>
    <t>Frutales</t>
  </si>
  <si>
    <t xml:space="preserve">         Viñedo </t>
  </si>
  <si>
    <t>Superficie (Ha)</t>
  </si>
  <si>
    <t>Total</t>
  </si>
  <si>
    <t>Colmenas</t>
  </si>
  <si>
    <t>(42)</t>
  </si>
  <si>
    <t>mixtos</t>
  </si>
  <si>
    <t>(43)</t>
  </si>
  <si>
    <t>Ovinos</t>
  </si>
  <si>
    <t>caprinos y</t>
  </si>
  <si>
    <t>(44)</t>
  </si>
  <si>
    <t xml:space="preserve">otros </t>
  </si>
  <si>
    <t>herbívoros</t>
  </si>
  <si>
    <t>Granívoros</t>
  </si>
  <si>
    <t>Policultivos</t>
  </si>
  <si>
    <t>(50)</t>
  </si>
  <si>
    <t>(60)</t>
  </si>
  <si>
    <t>Ganadería</t>
  </si>
  <si>
    <t>mixta</t>
  </si>
  <si>
    <t>predominio</t>
  </si>
  <si>
    <t>(71)</t>
  </si>
  <si>
    <t>(72)</t>
  </si>
  <si>
    <t>Agricultura</t>
  </si>
  <si>
    <t>general y</t>
  </si>
  <si>
    <t>(81)</t>
  </si>
  <si>
    <t>Otros</t>
  </si>
  <si>
    <t>cultivos y</t>
  </si>
  <si>
    <t>ganaderia</t>
  </si>
  <si>
    <t>Sin OTE</t>
  </si>
  <si>
    <t>graníboros</t>
  </si>
  <si>
    <t>general</t>
  </si>
  <si>
    <t>Herbívoros</t>
  </si>
  <si>
    <t>Graníboros</t>
  </si>
  <si>
    <t>Número total de</t>
  </si>
  <si>
    <t>(miles)</t>
  </si>
  <si>
    <t xml:space="preserve">Sin </t>
  </si>
  <si>
    <t>clasificar</t>
  </si>
  <si>
    <t>y ganaderia</t>
  </si>
  <si>
    <t>Nº de colmenas</t>
  </si>
  <si>
    <t>ESPAÑA</t>
  </si>
  <si>
    <t xml:space="preserve">Nº de </t>
  </si>
  <si>
    <t xml:space="preserve">  Castilla–La Mancha</t>
  </si>
  <si>
    <t>(Ha): Hectáreas.</t>
  </si>
  <si>
    <t>4.3. Distribución de las explotaciones agrarias por Comunidades Autónomas, según superficie total (ST)</t>
  </si>
  <si>
    <t>4.4. Distribución de las explotaciones agrarias por Comunidades Autónomas, según grandes grupos de usos</t>
  </si>
  <si>
    <t>4.5. Distribución de las explotaciones agrarias por Comunidades Autónomas, según sistema de cultivo de tierras labradas</t>
  </si>
  <si>
    <t>y tipo de cultivos: Regadío al aire libre</t>
  </si>
  <si>
    <t>4.6. Distribución de las explotaciones agrarias por Comunidades Autónomas, según el sistema de cultivo de tierras labradas</t>
  </si>
  <si>
    <t>y tipo de cultivos: Regadío en invernadero</t>
  </si>
  <si>
    <t>4.7. Distribución de las explotaciones agrarias por Comunidades Autónomas, según sistema de cultivo</t>
  </si>
  <si>
    <t xml:space="preserve"> de tierras labradas y tipo de cultivos: Secano</t>
  </si>
  <si>
    <t>4.8.  Distribución de las explotaciones agrarias por Comunidades Autónomas, con tierras dedicadas</t>
  </si>
  <si>
    <t xml:space="preserve"> a pastos permanentes</t>
  </si>
  <si>
    <t>4.9.  Distribución de las explotaciones agrarias por Comunidades Autónomas,</t>
  </si>
  <si>
    <t xml:space="preserve"> sin superficie agrícola utilizada (SAU)</t>
  </si>
  <si>
    <t>4.10. Distribución de las explotaciones agrarias por Comunidades Autónomas, según efectivos ganaderos: Bovinos</t>
  </si>
  <si>
    <t>4.11. Distribución de las explotaciones agrarias por Comunidades Autónomas, según efectivos ganaderos: Ovinos</t>
  </si>
  <si>
    <t>4.12. Distribución de las explotaciones agrarias por Comunidades Autónomas, según efectivos ganaderos: Caprinos</t>
  </si>
  <si>
    <t>4.13. Distribución de las explotaciones agrarias por Comunidades Autónomas, según efectivos ganaderos: Porcinos</t>
  </si>
  <si>
    <t>4.14. Distribución de las explotaciones agrarias por Comunidades Autónomas, según efectivos ganaderos: Equinos</t>
  </si>
  <si>
    <t>4.16. Distribución de las explotaciones agrarias por Comunidades Autónomas, según efectivos ganaderos: Conejas madres</t>
  </si>
  <si>
    <t>4.17. Distribución de las explotaciones agrarias por Comunidades Autónomas, según efectivos ganaderos: Colmenas</t>
  </si>
  <si>
    <t xml:space="preserve">4.21. Distribución de las explotaciones agrarias por Comunidades Autónomas, según tipo de trabajo realizado </t>
  </si>
  <si>
    <t>UE-15</t>
  </si>
  <si>
    <t>Países</t>
  </si>
  <si>
    <t>Fuente: EUROSTAT.</t>
  </si>
  <si>
    <t xml:space="preserve">  Ceuta</t>
  </si>
  <si>
    <t xml:space="preserve">  Melilla</t>
  </si>
  <si>
    <t>Fuente: Censo Agrario, 1999. I.N.E.</t>
  </si>
  <si>
    <t xml:space="preserve"> Fuente:  Censo Agrario, 1999. I.N.E.</t>
  </si>
  <si>
    <t>..</t>
  </si>
  <si>
    <t>ST (Ha)</t>
  </si>
  <si>
    <t>Con SAU</t>
  </si>
  <si>
    <t>Sin SAU</t>
  </si>
  <si>
    <t>carne</t>
  </si>
  <si>
    <t xml:space="preserve">  Ceuta y Melilla</t>
  </si>
  <si>
    <t>4.1. Evolución a nivel nacional de las principales características de las explotaciones agrarias según los Censos Agrarios del I.N.E.</t>
  </si>
  <si>
    <t xml:space="preserve">4.2. Evolución a nivel nacional de las principales características de las explotaciones agrarias según </t>
  </si>
  <si>
    <t xml:space="preserve">4.15. Distribución de las explotaciones agrarias por Comunidades Autónomas, según efectivos ganaderos: Aves </t>
  </si>
  <si>
    <t>(Miles de cabezas)</t>
  </si>
  <si>
    <t xml:space="preserve"> y aprovechamientos de la superficie agrícola utilizada (SAU)</t>
  </si>
  <si>
    <t>(UDE): Unidades de dimensión europea.</t>
  </si>
  <si>
    <t>Miles de (UG)</t>
  </si>
  <si>
    <t>Miles de (UTA)</t>
  </si>
  <si>
    <t>Miles de (UDE)</t>
  </si>
  <si>
    <t>(UG): Unidades ganaderas.</t>
  </si>
  <si>
    <t>(UTA): Unidades de trabajo-año.</t>
  </si>
  <si>
    <t>(1) La población objeto de observación de la Encuesta sobre la Estructura de las Explotaciones Agrícolas del I.N.E. es la que tiene una (SAU) superior a 1 Ha, o al menos</t>
  </si>
  <si>
    <t xml:space="preserve">Encuesta sobre la Estructura de las Explotaciones Agrícolas (1) </t>
  </si>
  <si>
    <t xml:space="preserve">       0,2 Ha de (SAU) ocupadas por cultivos hortícolas y frutales de regadío o de invernadero o un Margen Bruto superior o igual a 0,75 (UDE).</t>
  </si>
  <si>
    <t>4.18. Margen Bruto Standard (MBS) de las explotaciones agrarias según Unidades de dimensión europea (UDE)</t>
  </si>
  <si>
    <t xml:space="preserve">Estratos de (UDE) </t>
  </si>
  <si>
    <t>4.19. Distribución de las explotaciones agrarias por Comunidades Autónomas y Unidades de dimensión europea (UDE)</t>
  </si>
  <si>
    <t>Estratos de (UDE)</t>
  </si>
  <si>
    <t>4.20. Distribución de las explotaciones agrarias por Comunidades Autónomas, según Orientación técnico-económica (OTE)</t>
  </si>
  <si>
    <t>y Unidades de trabajo-año (UTA)</t>
  </si>
  <si>
    <t>Estratos de UDE</t>
  </si>
  <si>
    <t>*412</t>
  </si>
  <si>
    <t>*689</t>
  </si>
  <si>
    <t>* Dato agregado de Ceuta y Melilla.</t>
  </si>
  <si>
    <t xml:space="preserve">      Herbáceos</t>
  </si>
  <si>
    <t>_</t>
  </si>
  <si>
    <t>(UDE): Unidades de Dimensión Europea.</t>
  </si>
  <si>
    <t>(UTA): Unidades de Trabajo-Año.</t>
  </si>
  <si>
    <t>(SAU): Superficie Agrícola Utilizada.</t>
  </si>
  <si>
    <t>(ST): Superficie Total.</t>
  </si>
  <si>
    <t>(SAU): SuperficieAgrícola Utilizada.</t>
  </si>
  <si>
    <t>(SAU): Superficie Agrícola Utilizada</t>
  </si>
  <si>
    <t xml:space="preserve">(UTA): Unidades de Trabajo-Año.  </t>
  </si>
  <si>
    <t>(OTE): Orientación Técnico-Económica.</t>
  </si>
  <si>
    <t xml:space="preserve">(OTE): Orientación Técnico-Económica. </t>
  </si>
  <si>
    <t>España (*)</t>
  </si>
  <si>
    <t>(*) La población objeto de observación de la Encuesta sobre la Estructura de las Explotaciones Agrícolas del I.N.E. es la que tiene una (SAU) superior a 1 Ha, o al menos</t>
  </si>
  <si>
    <t xml:space="preserve">       0,2 Ha de (SAU) ocupadas por cultivos hortícolas y frutales de regadío o de invernadero o un Margen Bruto (MB) superior o igual a 0,75 (UDE).</t>
  </si>
  <si>
    <t xml:space="preserve">Tierras con especies arbóreas forestales </t>
  </si>
  <si>
    <t>Características</t>
  </si>
  <si>
    <t>Nº total de Explotaciones</t>
  </si>
  <si>
    <t>Superficie total Censada</t>
  </si>
  <si>
    <t xml:space="preserve"> Tierras con especies arbóreas  forestales</t>
  </si>
  <si>
    <t>4.22. Distribución del número total de explotaciones agrarias de la Unión Europea, en miles, según Orientación Técnico-Económica (OTE)</t>
  </si>
  <si>
    <t>4.23. Distribución del número total de explotaciones agrarias de la Unión Europea, en miles, según Unidades de Dimensión Europea (UDE)</t>
  </si>
  <si>
    <t xml:space="preserve"> las Encuestas sobre la Estructura de las Explotaciones Agrícolas del Instituto Nacional de Estadística ( I.N.E.)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</si>
</sst>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10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u val="single"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180" fontId="0" fillId="0" borderId="0" xfId="22" applyNumberFormat="1" applyFont="1" applyProtection="1">
      <alignment/>
      <protection/>
    </xf>
    <xf numFmtId="0" fontId="0" fillId="0" borderId="0" xfId="21" applyFont="1">
      <alignment/>
      <protection/>
    </xf>
    <xf numFmtId="0" fontId="0" fillId="0" borderId="0" xfId="20" applyFont="1">
      <alignment/>
      <protection/>
    </xf>
    <xf numFmtId="0" fontId="0" fillId="0" borderId="0" xfId="30" applyFont="1">
      <alignment/>
      <protection/>
    </xf>
    <xf numFmtId="0" fontId="0" fillId="0" borderId="0" xfId="29" applyFont="1">
      <alignment/>
      <protection/>
    </xf>
    <xf numFmtId="0" fontId="0" fillId="0" borderId="0" xfId="28" applyFont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6" applyFont="1">
      <alignment/>
      <protection/>
    </xf>
    <xf numFmtId="181" fontId="0" fillId="0" borderId="0" xfId="26" applyNumberFormat="1" applyFont="1" applyProtection="1">
      <alignment/>
      <protection/>
    </xf>
    <xf numFmtId="0" fontId="0" fillId="0" borderId="0" xfId="25" applyFont="1" applyProtection="1">
      <alignment/>
      <protection/>
    </xf>
    <xf numFmtId="181" fontId="0" fillId="0" borderId="0" xfId="25" applyNumberFormat="1" applyFont="1" applyProtection="1">
      <alignment/>
      <protection/>
    </xf>
    <xf numFmtId="0" fontId="0" fillId="0" borderId="0" xfId="24" applyFont="1" applyProtection="1">
      <alignment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23" applyFont="1" applyAlignment="1">
      <alignment horizontal="fill"/>
      <protection/>
    </xf>
    <xf numFmtId="0" fontId="0" fillId="0" borderId="1" xfId="19" applyFont="1" applyBorder="1">
      <alignment/>
      <protection/>
    </xf>
    <xf numFmtId="0" fontId="0" fillId="0" borderId="2" xfId="19" applyFont="1" applyBorder="1" applyAlignment="1">
      <alignment horizontal="center"/>
      <protection/>
    </xf>
    <xf numFmtId="0" fontId="0" fillId="0" borderId="3" xfId="19" applyFont="1" applyBorder="1">
      <alignment/>
      <protection/>
    </xf>
    <xf numFmtId="0" fontId="0" fillId="0" borderId="4" xfId="19" applyFont="1" applyBorder="1" applyAlignment="1">
      <alignment horizontal="center"/>
      <protection/>
    </xf>
    <xf numFmtId="0" fontId="0" fillId="0" borderId="3" xfId="19" applyFont="1" applyBorder="1" applyAlignment="1">
      <alignment horizontal="left"/>
      <protection/>
    </xf>
    <xf numFmtId="0" fontId="0" fillId="0" borderId="3" xfId="19" applyFont="1" applyBorder="1" applyAlignment="1">
      <alignment/>
      <protection/>
    </xf>
    <xf numFmtId="183" fontId="0" fillId="0" borderId="4" xfId="19" applyNumberFormat="1" applyFont="1" applyBorder="1" applyProtection="1">
      <alignment/>
      <protection/>
    </xf>
    <xf numFmtId="183" fontId="0" fillId="0" borderId="4" xfId="19" applyNumberFormat="1" applyFont="1" applyBorder="1" applyAlignment="1" applyProtection="1">
      <alignment horizontal="center"/>
      <protection/>
    </xf>
    <xf numFmtId="183" fontId="0" fillId="0" borderId="4" xfId="19" applyNumberFormat="1" applyFont="1" applyBorder="1">
      <alignment/>
      <protection/>
    </xf>
    <xf numFmtId="0" fontId="0" fillId="0" borderId="1" xfId="23" applyFont="1" applyBorder="1">
      <alignment/>
      <protection/>
    </xf>
    <xf numFmtId="0" fontId="0" fillId="0" borderId="3" xfId="23" applyFont="1" applyBorder="1">
      <alignment/>
      <protection/>
    </xf>
    <xf numFmtId="0" fontId="0" fillId="0" borderId="4" xfId="23" applyFont="1" applyBorder="1" applyAlignment="1">
      <alignment horizontal="center"/>
      <protection/>
    </xf>
    <xf numFmtId="0" fontId="0" fillId="0" borderId="5" xfId="23" applyFont="1" applyBorder="1">
      <alignment/>
      <protection/>
    </xf>
    <xf numFmtId="0" fontId="0" fillId="0" borderId="3" xfId="23" applyFont="1" applyBorder="1" applyAlignment="1">
      <alignment horizontal="center"/>
      <protection/>
    </xf>
    <xf numFmtId="0" fontId="0" fillId="0" borderId="4" xfId="23" applyFont="1" applyBorder="1">
      <alignment/>
      <protection/>
    </xf>
    <xf numFmtId="0" fontId="0" fillId="0" borderId="5" xfId="23" applyFont="1" applyBorder="1" applyAlignment="1">
      <alignment horizontal="center"/>
      <protection/>
    </xf>
    <xf numFmtId="181" fontId="0" fillId="0" borderId="4" xfId="23" applyNumberFormat="1" applyFont="1" applyBorder="1" applyProtection="1">
      <alignment/>
      <protection/>
    </xf>
    <xf numFmtId="181" fontId="0" fillId="0" borderId="5" xfId="23" applyNumberFormat="1" applyFont="1" applyBorder="1" applyProtection="1">
      <alignment/>
      <protection/>
    </xf>
    <xf numFmtId="0" fontId="0" fillId="0" borderId="2" xfId="23" applyFont="1" applyBorder="1" applyAlignment="1">
      <alignment horizontal="center"/>
      <protection/>
    </xf>
    <xf numFmtId="0" fontId="0" fillId="0" borderId="6" xfId="23" applyFont="1" applyBorder="1" applyAlignment="1">
      <alignment horizontal="center"/>
      <protection/>
    </xf>
    <xf numFmtId="0" fontId="2" fillId="0" borderId="0" xfId="23" applyFont="1" applyAlignment="1">
      <alignment horizontal="center"/>
      <protection/>
    </xf>
    <xf numFmtId="0" fontId="0" fillId="0" borderId="1" xfId="24" applyFont="1" applyBorder="1" applyProtection="1">
      <alignment/>
      <protection/>
    </xf>
    <xf numFmtId="0" fontId="0" fillId="0" borderId="3" xfId="24" applyFont="1" applyBorder="1" applyAlignment="1" applyProtection="1">
      <alignment horizontal="center"/>
      <protection/>
    </xf>
    <xf numFmtId="0" fontId="0" fillId="0" borderId="4" xfId="24" applyFont="1" applyBorder="1" applyAlignment="1" applyProtection="1">
      <alignment horizontal="center"/>
      <protection/>
    </xf>
    <xf numFmtId="0" fontId="0" fillId="0" borderId="4" xfId="24" applyFont="1" applyBorder="1" applyProtection="1">
      <alignment/>
      <protection/>
    </xf>
    <xf numFmtId="0" fontId="0" fillId="0" borderId="5" xfId="24" applyFont="1" applyBorder="1" applyProtection="1">
      <alignment/>
      <protection/>
    </xf>
    <xf numFmtId="0" fontId="0" fillId="0" borderId="3" xfId="24" applyFont="1" applyBorder="1" applyProtection="1">
      <alignment/>
      <protection/>
    </xf>
    <xf numFmtId="181" fontId="0" fillId="0" borderId="4" xfId="24" applyNumberFormat="1" applyFont="1" applyBorder="1" applyProtection="1">
      <alignment/>
      <protection/>
    </xf>
    <xf numFmtId="181" fontId="0" fillId="0" borderId="5" xfId="24" applyNumberFormat="1" applyFont="1" applyBorder="1" applyProtection="1">
      <alignment/>
      <protection/>
    </xf>
    <xf numFmtId="0" fontId="0" fillId="0" borderId="1" xfId="25" applyFont="1" applyBorder="1" applyProtection="1">
      <alignment/>
      <protection/>
    </xf>
    <xf numFmtId="0" fontId="0" fillId="0" borderId="6" xfId="25" applyFont="1" applyBorder="1" applyProtection="1">
      <alignment/>
      <protection/>
    </xf>
    <xf numFmtId="0" fontId="0" fillId="0" borderId="3" xfId="25" applyFont="1" applyBorder="1" applyAlignment="1" applyProtection="1">
      <alignment horizontal="center"/>
      <protection/>
    </xf>
    <xf numFmtId="0" fontId="0" fillId="0" borderId="4" xfId="25" applyFont="1" applyBorder="1" applyAlignment="1" applyProtection="1">
      <alignment horizontal="fill"/>
      <protection/>
    </xf>
    <xf numFmtId="0" fontId="0" fillId="0" borderId="5" xfId="25" applyFont="1" applyBorder="1" applyAlignment="1" applyProtection="1">
      <alignment horizontal="fill"/>
      <protection/>
    </xf>
    <xf numFmtId="0" fontId="0" fillId="0" borderId="3" xfId="25" applyFont="1" applyBorder="1" applyProtection="1">
      <alignment/>
      <protection/>
    </xf>
    <xf numFmtId="181" fontId="0" fillId="0" borderId="4" xfId="25" applyNumberFormat="1" applyFont="1" applyBorder="1" applyProtection="1">
      <alignment/>
      <protection/>
    </xf>
    <xf numFmtId="181" fontId="0" fillId="0" borderId="5" xfId="25" applyNumberFormat="1" applyFont="1" applyBorder="1" applyProtection="1">
      <alignment/>
      <protection/>
    </xf>
    <xf numFmtId="0" fontId="0" fillId="0" borderId="4" xfId="25" applyFont="1" applyBorder="1" applyProtection="1">
      <alignment/>
      <protection/>
    </xf>
    <xf numFmtId="0" fontId="0" fillId="0" borderId="5" xfId="25" applyFont="1" applyBorder="1" applyProtection="1">
      <alignment/>
      <protection/>
    </xf>
    <xf numFmtId="0" fontId="0" fillId="0" borderId="2" xfId="25" applyFont="1" applyBorder="1" applyAlignment="1" applyProtection="1">
      <alignment horizontal="center"/>
      <protection/>
    </xf>
    <xf numFmtId="0" fontId="0" fillId="0" borderId="1" xfId="26" applyFont="1" applyBorder="1">
      <alignment/>
      <protection/>
    </xf>
    <xf numFmtId="0" fontId="0" fillId="0" borderId="3" xfId="26" applyFont="1" applyBorder="1" applyAlignment="1">
      <alignment horizontal="center"/>
      <protection/>
    </xf>
    <xf numFmtId="0" fontId="0" fillId="0" borderId="3" xfId="26" applyFont="1" applyBorder="1">
      <alignment/>
      <protection/>
    </xf>
    <xf numFmtId="0" fontId="0" fillId="0" borderId="4" xfId="26" applyFont="1" applyBorder="1" applyAlignment="1">
      <alignment horizontal="center"/>
      <protection/>
    </xf>
    <xf numFmtId="181" fontId="0" fillId="0" borderId="4" xfId="26" applyNumberFormat="1" applyFont="1" applyBorder="1" applyProtection="1">
      <alignment/>
      <protection/>
    </xf>
    <xf numFmtId="181" fontId="0" fillId="0" borderId="5" xfId="26" applyNumberFormat="1" applyFont="1" applyBorder="1" applyProtection="1">
      <alignment/>
      <protection/>
    </xf>
    <xf numFmtId="0" fontId="0" fillId="0" borderId="2" xfId="26" applyFont="1" applyBorder="1" applyAlignment="1">
      <alignment horizontal="center"/>
      <protection/>
    </xf>
    <xf numFmtId="0" fontId="0" fillId="0" borderId="6" xfId="26" applyFont="1" applyBorder="1" applyAlignment="1">
      <alignment horizontal="center"/>
      <protection/>
    </xf>
    <xf numFmtId="0" fontId="0" fillId="0" borderId="1" xfId="26" applyFont="1" applyBorder="1" applyAlignment="1">
      <alignment horizontal="center"/>
      <protection/>
    </xf>
    <xf numFmtId="0" fontId="0" fillId="0" borderId="4" xfId="26" applyFont="1" applyBorder="1">
      <alignment/>
      <protection/>
    </xf>
    <xf numFmtId="0" fontId="0" fillId="0" borderId="5" xfId="26" applyFont="1" applyBorder="1">
      <alignment/>
      <protection/>
    </xf>
    <xf numFmtId="0" fontId="2" fillId="0" borderId="0" xfId="26" applyFont="1" applyAlignment="1">
      <alignment horizontal="center"/>
      <protection/>
    </xf>
    <xf numFmtId="0" fontId="0" fillId="0" borderId="1" xfId="27" applyFont="1" applyBorder="1" applyAlignment="1">
      <alignment horizontal="center"/>
      <protection/>
    </xf>
    <xf numFmtId="0" fontId="2" fillId="0" borderId="0" xfId="30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0" fillId="0" borderId="2" xfId="27" applyFont="1" applyBorder="1" applyAlignment="1">
      <alignment horizontal="center"/>
      <protection/>
    </xf>
    <xf numFmtId="181" fontId="0" fillId="0" borderId="4" xfId="30" applyNumberFormat="1" applyFont="1" applyBorder="1" applyProtection="1">
      <alignment/>
      <protection/>
    </xf>
    <xf numFmtId="0" fontId="0" fillId="0" borderId="4" xfId="30" applyFont="1" applyBorder="1">
      <alignment/>
      <protection/>
    </xf>
    <xf numFmtId="0" fontId="0" fillId="0" borderId="1" xfId="20" applyFont="1" applyBorder="1">
      <alignment/>
      <protection/>
    </xf>
    <xf numFmtId="0" fontId="0" fillId="0" borderId="2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4" xfId="20" applyFont="1" applyBorder="1" applyAlignment="1">
      <alignment horizontal="fill"/>
      <protection/>
    </xf>
    <xf numFmtId="0" fontId="0" fillId="0" borderId="5" xfId="20" applyFont="1" applyBorder="1" applyAlignment="1">
      <alignment horizontal="fill"/>
      <protection/>
    </xf>
    <xf numFmtId="0" fontId="0" fillId="0" borderId="3" xfId="20" applyFont="1" applyBorder="1">
      <alignment/>
      <protection/>
    </xf>
    <xf numFmtId="181" fontId="0" fillId="0" borderId="4" xfId="20" applyNumberFormat="1" applyFont="1" applyBorder="1" applyProtection="1">
      <alignment/>
      <protection/>
    </xf>
    <xf numFmtId="181" fontId="0" fillId="0" borderId="5" xfId="20" applyNumberFormat="1" applyFont="1" applyBorder="1" applyProtection="1">
      <alignment/>
      <protection/>
    </xf>
    <xf numFmtId="0" fontId="0" fillId="0" borderId="4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2" xfId="20" applyFont="1" applyBorder="1" applyAlignment="1">
      <alignment horizontal="fill"/>
      <protection/>
    </xf>
    <xf numFmtId="0" fontId="0" fillId="0" borderId="6" xfId="20" applyFont="1" applyBorder="1" applyAlignment="1">
      <alignment horizontal="fill"/>
      <protection/>
    </xf>
    <xf numFmtId="0" fontId="0" fillId="0" borderId="1" xfId="21" applyFont="1" applyBorder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2" xfId="21" applyFont="1" applyBorder="1">
      <alignment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3" xfId="21" applyFont="1" applyBorder="1">
      <alignment/>
      <protection/>
    </xf>
    <xf numFmtId="181" fontId="0" fillId="0" borderId="4" xfId="21" applyNumberFormat="1" applyFont="1" applyBorder="1" applyProtection="1">
      <alignment/>
      <protection/>
    </xf>
    <xf numFmtId="0" fontId="0" fillId="0" borderId="1" xfId="22" applyFont="1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4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4" xfId="22" applyFont="1" applyBorder="1" applyAlignment="1">
      <alignment horizontal="center"/>
      <protection/>
    </xf>
    <xf numFmtId="0" fontId="0" fillId="0" borderId="4" xfId="22" applyFont="1" applyBorder="1" applyAlignment="1">
      <alignment horizontal="fill"/>
      <protection/>
    </xf>
    <xf numFmtId="0" fontId="0" fillId="0" borderId="5" xfId="22" applyFont="1" applyBorder="1" applyAlignment="1">
      <alignment horizontal="center"/>
      <protection/>
    </xf>
    <xf numFmtId="181" fontId="0" fillId="0" borderId="4" xfId="22" applyNumberFormat="1" applyFont="1" applyBorder="1" applyProtection="1">
      <alignment/>
      <protection/>
    </xf>
    <xf numFmtId="181" fontId="0" fillId="0" borderId="5" xfId="22" applyNumberFormat="1" applyFont="1" applyBorder="1" applyProtection="1">
      <alignment/>
      <protection/>
    </xf>
    <xf numFmtId="0" fontId="0" fillId="0" borderId="5" xfId="22" applyFont="1" applyBorder="1">
      <alignment/>
      <protection/>
    </xf>
    <xf numFmtId="0" fontId="0" fillId="0" borderId="2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181" fontId="0" fillId="0" borderId="0" xfId="23" applyNumberFormat="1" applyFont="1" applyAlignment="1" applyProtection="1">
      <alignment horizontal="center"/>
      <protection/>
    </xf>
    <xf numFmtId="0" fontId="0" fillId="0" borderId="7" xfId="19" applyFont="1" applyBorder="1">
      <alignment/>
      <protection/>
    </xf>
    <xf numFmtId="0" fontId="0" fillId="0" borderId="8" xfId="19" applyFont="1" applyBorder="1" applyAlignment="1">
      <alignment horizontal="center"/>
      <protection/>
    </xf>
    <xf numFmtId="0" fontId="0" fillId="0" borderId="9" xfId="19" applyFont="1" applyBorder="1" applyAlignment="1">
      <alignment horizontal="center"/>
      <protection/>
    </xf>
    <xf numFmtId="0" fontId="0" fillId="0" borderId="3" xfId="19" applyFont="1" applyBorder="1" applyAlignment="1">
      <alignment horizontal="left" indent="1"/>
      <protection/>
    </xf>
    <xf numFmtId="183" fontId="0" fillId="0" borderId="5" xfId="19" applyNumberFormat="1" applyFont="1" applyBorder="1" applyAlignment="1" applyProtection="1">
      <alignment horizontal="right"/>
      <protection/>
    </xf>
    <xf numFmtId="183" fontId="0" fillId="0" borderId="5" xfId="19" applyNumberFormat="1" applyFont="1" applyBorder="1" applyAlignment="1">
      <alignment horizontal="right"/>
      <protection/>
    </xf>
    <xf numFmtId="183" fontId="0" fillId="0" borderId="4" xfId="19" applyNumberFormat="1" applyFont="1" applyBorder="1" applyAlignment="1" applyProtection="1">
      <alignment horizontal="right"/>
      <protection/>
    </xf>
    <xf numFmtId="0" fontId="3" fillId="0" borderId="0" xfId="23" applyFont="1" applyAlignment="1">
      <alignment horizontal="center"/>
      <protection/>
    </xf>
    <xf numFmtId="0" fontId="0" fillId="0" borderId="7" xfId="19" applyFont="1" applyBorder="1" applyAlignment="1">
      <alignment horizontal="left"/>
      <protection/>
    </xf>
    <xf numFmtId="183" fontId="0" fillId="0" borderId="8" xfId="19" applyNumberFormat="1" applyFont="1" applyBorder="1" applyAlignment="1" applyProtection="1">
      <alignment horizontal="right"/>
      <protection/>
    </xf>
    <xf numFmtId="183" fontId="0" fillId="0" borderId="8" xfId="19" applyNumberFormat="1" applyFont="1" applyBorder="1" applyProtection="1">
      <alignment/>
      <protection/>
    </xf>
    <xf numFmtId="183" fontId="0" fillId="0" borderId="9" xfId="19" applyNumberFormat="1" applyFont="1" applyBorder="1" applyAlignment="1" applyProtection="1">
      <alignment horizontal="right"/>
      <protection/>
    </xf>
    <xf numFmtId="0" fontId="0" fillId="0" borderId="7" xfId="23" applyFont="1" applyBorder="1" applyAlignment="1">
      <alignment horizontal="center"/>
      <protection/>
    </xf>
    <xf numFmtId="0" fontId="0" fillId="0" borderId="8" xfId="23" applyFont="1" applyBorder="1" applyAlignment="1">
      <alignment horizontal="center"/>
      <protection/>
    </xf>
    <xf numFmtId="0" fontId="0" fillId="0" borderId="9" xfId="23" applyFont="1" applyBorder="1" applyAlignment="1">
      <alignment horizontal="center"/>
      <protection/>
    </xf>
    <xf numFmtId="0" fontId="2" fillId="0" borderId="7" xfId="23" applyFont="1" applyBorder="1">
      <alignment/>
      <protection/>
    </xf>
    <xf numFmtId="181" fontId="2" fillId="0" borderId="8" xfId="23" applyNumberFormat="1" applyFont="1" applyBorder="1" applyProtection="1">
      <alignment/>
      <protection/>
    </xf>
    <xf numFmtId="181" fontId="2" fillId="0" borderId="9" xfId="23" applyNumberFormat="1" applyFont="1" applyBorder="1" applyProtection="1">
      <alignment/>
      <protection/>
    </xf>
    <xf numFmtId="0" fontId="0" fillId="0" borderId="7" xfId="23" applyFont="1" applyBorder="1">
      <alignment/>
      <protection/>
    </xf>
    <xf numFmtId="0" fontId="0" fillId="0" borderId="7" xfId="24" applyFont="1" applyBorder="1" applyProtection="1">
      <alignment/>
      <protection/>
    </xf>
    <xf numFmtId="0" fontId="0" fillId="0" borderId="8" xfId="24" applyFont="1" applyBorder="1" applyAlignment="1" applyProtection="1">
      <alignment horizontal="center"/>
      <protection/>
    </xf>
    <xf numFmtId="0" fontId="2" fillId="0" borderId="7" xfId="24" applyFont="1" applyBorder="1" applyProtection="1">
      <alignment/>
      <protection/>
    </xf>
    <xf numFmtId="181" fontId="2" fillId="0" borderId="8" xfId="24" applyNumberFormat="1" applyFont="1" applyBorder="1" applyProtection="1">
      <alignment/>
      <protection/>
    </xf>
    <xf numFmtId="181" fontId="2" fillId="0" borderId="9" xfId="24" applyNumberFormat="1" applyFont="1" applyBorder="1" applyProtection="1">
      <alignment/>
      <protection/>
    </xf>
    <xf numFmtId="0" fontId="0" fillId="0" borderId="7" xfId="24" applyFont="1" applyBorder="1" applyAlignment="1" applyProtection="1">
      <alignment horizontal="center"/>
      <protection/>
    </xf>
    <xf numFmtId="0" fontId="0" fillId="0" borderId="7" xfId="25" applyFont="1" applyBorder="1" applyProtection="1">
      <alignment/>
      <protection/>
    </xf>
    <xf numFmtId="0" fontId="0" fillId="0" borderId="8" xfId="25" applyFont="1" applyBorder="1" applyAlignment="1" applyProtection="1">
      <alignment horizontal="center"/>
      <protection/>
    </xf>
    <xf numFmtId="0" fontId="0" fillId="0" borderId="9" xfId="25" applyFont="1" applyBorder="1" applyAlignment="1" applyProtection="1">
      <alignment horizontal="center"/>
      <protection/>
    </xf>
    <xf numFmtId="0" fontId="2" fillId="0" borderId="7" xfId="25" applyFont="1" applyBorder="1" applyProtection="1">
      <alignment/>
      <protection/>
    </xf>
    <xf numFmtId="181" fontId="2" fillId="0" borderId="8" xfId="25" applyNumberFormat="1" applyFont="1" applyBorder="1" applyProtection="1">
      <alignment/>
      <protection/>
    </xf>
    <xf numFmtId="181" fontId="2" fillId="0" borderId="9" xfId="25" applyNumberFormat="1" applyFont="1" applyBorder="1" applyProtection="1">
      <alignment/>
      <protection/>
    </xf>
    <xf numFmtId="0" fontId="0" fillId="0" borderId="10" xfId="25" applyFont="1" applyBorder="1" applyProtection="1">
      <alignment/>
      <protection/>
    </xf>
    <xf numFmtId="0" fontId="0" fillId="0" borderId="0" xfId="25" applyFont="1" applyBorder="1" applyAlignment="1" applyProtection="1">
      <alignment horizontal="center"/>
      <protection/>
    </xf>
    <xf numFmtId="0" fontId="0" fillId="0" borderId="11" xfId="25" applyFont="1" applyBorder="1" applyProtection="1">
      <alignment/>
      <protection/>
    </xf>
    <xf numFmtId="0" fontId="0" fillId="0" borderId="1" xfId="0" applyBorder="1" applyAlignment="1">
      <alignment/>
    </xf>
    <xf numFmtId="181" fontId="0" fillId="0" borderId="0" xfId="0" applyNumberFormat="1" applyAlignment="1">
      <alignment/>
    </xf>
    <xf numFmtId="0" fontId="0" fillId="0" borderId="12" xfId="24" applyFont="1" applyBorder="1" applyAlignment="1" applyProtection="1">
      <alignment horizontal="center"/>
      <protection/>
    </xf>
    <xf numFmtId="0" fontId="0" fillId="0" borderId="9" xfId="24" applyFont="1" applyBorder="1" applyAlignment="1" applyProtection="1">
      <alignment horizontal="center"/>
      <protection/>
    </xf>
    <xf numFmtId="0" fontId="0" fillId="0" borderId="7" xfId="26" applyFont="1" applyBorder="1">
      <alignment/>
      <protection/>
    </xf>
    <xf numFmtId="0" fontId="0" fillId="0" borderId="8" xfId="26" applyFont="1" applyBorder="1" applyAlignment="1">
      <alignment horizontal="center"/>
      <protection/>
    </xf>
    <xf numFmtId="0" fontId="0" fillId="0" borderId="9" xfId="26" applyFont="1" applyBorder="1" applyAlignment="1">
      <alignment horizontal="center"/>
      <protection/>
    </xf>
    <xf numFmtId="0" fontId="2" fillId="0" borderId="7" xfId="26" applyFont="1" applyBorder="1">
      <alignment/>
      <protection/>
    </xf>
    <xf numFmtId="181" fontId="2" fillId="0" borderId="8" xfId="26" applyNumberFormat="1" applyFont="1" applyBorder="1" applyProtection="1">
      <alignment/>
      <protection/>
    </xf>
    <xf numFmtId="181" fontId="2" fillId="0" borderId="9" xfId="26" applyNumberFormat="1" applyFont="1" applyBorder="1" applyProtection="1">
      <alignment/>
      <protection/>
    </xf>
    <xf numFmtId="0" fontId="0" fillId="0" borderId="2" xfId="24" applyFont="1" applyBorder="1" applyAlignment="1" applyProtection="1">
      <alignment horizontal="center"/>
      <protection/>
    </xf>
    <xf numFmtId="0" fontId="2" fillId="0" borderId="0" xfId="21" applyFont="1" applyAlignment="1">
      <alignment horizontal="center"/>
      <protection/>
    </xf>
    <xf numFmtId="181" fontId="2" fillId="0" borderId="8" xfId="30" applyNumberFormat="1" applyFont="1" applyBorder="1" applyProtection="1">
      <alignment/>
      <protection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4" xfId="30" applyFont="1" applyBorder="1" applyAlignment="1">
      <alignment horizontal="right"/>
      <protection/>
    </xf>
    <xf numFmtId="181" fontId="0" fillId="0" borderId="4" xfId="30" applyNumberFormat="1" applyFont="1" applyBorder="1" applyAlignment="1" applyProtection="1">
      <alignment horizontal="right"/>
      <protection/>
    </xf>
    <xf numFmtId="0" fontId="0" fillId="0" borderId="7" xfId="20" applyFont="1" applyBorder="1">
      <alignment/>
      <protection/>
    </xf>
    <xf numFmtId="0" fontId="0" fillId="0" borderId="8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0" fontId="2" fillId="0" borderId="7" xfId="20" applyFont="1" applyBorder="1">
      <alignment/>
      <protection/>
    </xf>
    <xf numFmtId="181" fontId="2" fillId="0" borderId="8" xfId="20" applyNumberFormat="1" applyFont="1" applyBorder="1" applyProtection="1">
      <alignment/>
      <protection/>
    </xf>
    <xf numFmtId="181" fontId="2" fillId="0" borderId="9" xfId="20" applyNumberFormat="1" applyFont="1" applyBorder="1" applyProtection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 applyAlignment="1">
      <alignment horizontal="center"/>
      <protection/>
    </xf>
    <xf numFmtId="0" fontId="2" fillId="0" borderId="7" xfId="21" applyFont="1" applyBorder="1">
      <alignment/>
      <protection/>
    </xf>
    <xf numFmtId="181" fontId="2" fillId="0" borderId="8" xfId="21" applyNumberFormat="1" applyFont="1" applyBorder="1" applyProtection="1">
      <alignment/>
      <protection/>
    </xf>
    <xf numFmtId="0" fontId="0" fillId="0" borderId="0" xfId="21" applyFont="1" applyBorder="1">
      <alignment/>
      <protection/>
    </xf>
    <xf numFmtId="181" fontId="2" fillId="0" borderId="0" xfId="21" applyNumberFormat="1" applyFont="1" applyBorder="1" applyProtection="1">
      <alignment/>
      <protection/>
    </xf>
    <xf numFmtId="0" fontId="0" fillId="0" borderId="6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8" xfId="21" applyFont="1" applyBorder="1" applyAlignment="1" quotePrefix="1">
      <alignment horizontal="center"/>
      <protection/>
    </xf>
    <xf numFmtId="0" fontId="0" fillId="0" borderId="9" xfId="21" applyFont="1" applyBorder="1" applyAlignment="1" quotePrefix="1">
      <alignment horizontal="center"/>
      <protection/>
    </xf>
    <xf numFmtId="181" fontId="0" fillId="0" borderId="5" xfId="21" applyNumberFormat="1" applyFont="1" applyBorder="1" applyProtection="1">
      <alignment/>
      <protection/>
    </xf>
    <xf numFmtId="0" fontId="0" fillId="0" borderId="5" xfId="21" applyFont="1" applyBorder="1">
      <alignment/>
      <protection/>
    </xf>
    <xf numFmtId="181" fontId="2" fillId="0" borderId="9" xfId="21" applyNumberFormat="1" applyFont="1" applyBorder="1" applyProtection="1">
      <alignment/>
      <protection/>
    </xf>
    <xf numFmtId="0" fontId="0" fillId="0" borderId="10" xfId="22" applyFont="1" applyBorder="1">
      <alignment/>
      <protection/>
    </xf>
    <xf numFmtId="0" fontId="0" fillId="0" borderId="8" xfId="22" applyFont="1" applyBorder="1" applyAlignment="1">
      <alignment horizontal="center"/>
      <protection/>
    </xf>
    <xf numFmtId="0" fontId="0" fillId="0" borderId="7" xfId="22" applyFont="1" applyBorder="1">
      <alignment/>
      <protection/>
    </xf>
    <xf numFmtId="0" fontId="0" fillId="0" borderId="9" xfId="22" applyFont="1" applyBorder="1" applyAlignment="1">
      <alignment horizontal="center"/>
      <protection/>
    </xf>
    <xf numFmtId="0" fontId="2" fillId="0" borderId="7" xfId="22" applyFont="1" applyBorder="1">
      <alignment/>
      <protection/>
    </xf>
    <xf numFmtId="181" fontId="2" fillId="0" borderId="8" xfId="22" applyNumberFormat="1" applyFont="1" applyBorder="1" applyProtection="1">
      <alignment/>
      <protection/>
    </xf>
    <xf numFmtId="181" fontId="2" fillId="0" borderId="9" xfId="22" applyNumberFormat="1" applyFont="1" applyBorder="1" applyProtection="1">
      <alignment/>
      <protection/>
    </xf>
    <xf numFmtId="0" fontId="0" fillId="0" borderId="7" xfId="22" applyFont="1" applyBorder="1" applyAlignment="1">
      <alignment horizontal="center"/>
      <protection/>
    </xf>
    <xf numFmtId="0" fontId="2" fillId="0" borderId="13" xfId="22" applyFont="1" applyBorder="1">
      <alignment/>
      <protection/>
    </xf>
    <xf numFmtId="0" fontId="2" fillId="0" borderId="3" xfId="22" applyFont="1" applyBorder="1">
      <alignment/>
      <protection/>
    </xf>
    <xf numFmtId="0" fontId="2" fillId="0" borderId="0" xfId="22" applyFont="1">
      <alignment/>
      <protection/>
    </xf>
    <xf numFmtId="0" fontId="5" fillId="0" borderId="0" xfId="30" applyFont="1" applyAlignment="1">
      <alignment horizontal="left"/>
      <protection/>
    </xf>
    <xf numFmtId="0" fontId="0" fillId="0" borderId="4" xfId="25" applyFont="1" applyBorder="1" applyAlignment="1" applyProtection="1">
      <alignment horizontal="center"/>
      <protection/>
    </xf>
    <xf numFmtId="0" fontId="0" fillId="0" borderId="5" xfId="24" applyFont="1" applyBorder="1" applyAlignment="1" applyProtection="1">
      <alignment horizontal="center"/>
      <protection/>
    </xf>
    <xf numFmtId="0" fontId="0" fillId="0" borderId="5" xfId="25" applyFont="1" applyBorder="1" applyAlignment="1" applyProtection="1">
      <alignment horizontal="center"/>
      <protection/>
    </xf>
    <xf numFmtId="0" fontId="0" fillId="0" borderId="0" xfId="26" applyFont="1" applyBorder="1">
      <alignment/>
      <protection/>
    </xf>
    <xf numFmtId="0" fontId="0" fillId="0" borderId="0" xfId="24" applyFont="1" applyBorder="1" applyProtection="1">
      <alignment/>
      <protection/>
    </xf>
    <xf numFmtId="0" fontId="0" fillId="0" borderId="0" xfId="19" applyFont="1" applyBorder="1">
      <alignment/>
      <protection/>
    </xf>
    <xf numFmtId="0" fontId="0" fillId="0" borderId="0" xfId="24" applyFont="1" applyBorder="1">
      <alignment/>
      <protection/>
    </xf>
    <xf numFmtId="0" fontId="2" fillId="0" borderId="0" xfId="24" applyFont="1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80" fontId="0" fillId="0" borderId="4" xfId="19" applyNumberFormat="1" applyFont="1" applyBorder="1" applyAlignment="1" applyProtection="1">
      <alignment horizontal="right"/>
      <protection/>
    </xf>
    <xf numFmtId="180" fontId="0" fillId="0" borderId="5" xfId="19" applyNumberFormat="1" applyFont="1" applyBorder="1" applyAlignment="1" applyProtection="1">
      <alignment horizontal="right"/>
      <protection/>
    </xf>
    <xf numFmtId="180" fontId="0" fillId="0" borderId="8" xfId="19" applyNumberFormat="1" applyFont="1" applyBorder="1" applyAlignment="1" applyProtection="1">
      <alignment horizontal="right"/>
      <protection/>
    </xf>
    <xf numFmtId="180" fontId="0" fillId="0" borderId="9" xfId="19" applyNumberFormat="1" applyFont="1" applyBorder="1" applyAlignment="1" applyProtection="1">
      <alignment horizontal="right"/>
      <protection/>
    </xf>
    <xf numFmtId="0" fontId="0" fillId="0" borderId="0" xfId="19" applyFont="1" applyProtection="1">
      <alignment/>
      <protection/>
    </xf>
    <xf numFmtId="0" fontId="0" fillId="0" borderId="1" xfId="19" applyFont="1" applyBorder="1" applyProtection="1">
      <alignment/>
      <protection/>
    </xf>
    <xf numFmtId="0" fontId="0" fillId="0" borderId="2" xfId="19" applyFont="1" applyBorder="1" applyAlignment="1" applyProtection="1">
      <alignment horizontal="center"/>
      <protection/>
    </xf>
    <xf numFmtId="0" fontId="0" fillId="0" borderId="3" xfId="19" applyFont="1" applyBorder="1" applyProtection="1">
      <alignment/>
      <protection/>
    </xf>
    <xf numFmtId="0" fontId="0" fillId="0" borderId="4" xfId="19" applyFont="1" applyBorder="1" applyAlignment="1" applyProtection="1">
      <alignment horizontal="center"/>
      <protection/>
    </xf>
    <xf numFmtId="0" fontId="0" fillId="0" borderId="7" xfId="19" applyFont="1" applyBorder="1" applyProtection="1">
      <alignment/>
      <protection/>
    </xf>
    <xf numFmtId="0" fontId="0" fillId="0" borderId="8" xfId="19" applyFont="1" applyBorder="1" applyAlignment="1" applyProtection="1">
      <alignment horizontal="center"/>
      <protection/>
    </xf>
    <xf numFmtId="0" fontId="0" fillId="0" borderId="4" xfId="19" applyFont="1" applyBorder="1" applyProtection="1">
      <alignment/>
      <protection/>
    </xf>
    <xf numFmtId="0" fontId="0" fillId="0" borderId="4" xfId="19" applyFont="1" applyBorder="1" applyAlignment="1" applyProtection="1">
      <alignment horizontal="right"/>
      <protection/>
    </xf>
    <xf numFmtId="0" fontId="0" fillId="0" borderId="3" xfId="19" applyFont="1" applyBorder="1" applyAlignment="1" applyProtection="1">
      <alignment/>
      <protection/>
    </xf>
    <xf numFmtId="0" fontId="0" fillId="0" borderId="8" xfId="19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 wrapText="1"/>
    </xf>
    <xf numFmtId="3" fontId="0" fillId="0" borderId="4" xfId="23" applyNumberFormat="1" applyFont="1" applyBorder="1" applyProtection="1">
      <alignment/>
      <protection/>
    </xf>
    <xf numFmtId="3" fontId="0" fillId="0" borderId="5" xfId="23" applyNumberFormat="1" applyFont="1" applyBorder="1" applyProtection="1">
      <alignment/>
      <protection/>
    </xf>
    <xf numFmtId="3" fontId="0" fillId="0" borderId="3" xfId="0" applyNumberFormat="1" applyBorder="1" applyAlignment="1">
      <alignment horizontal="right" wrapText="1"/>
    </xf>
    <xf numFmtId="3" fontId="0" fillId="0" borderId="4" xfId="23" applyNumberFormat="1" applyFont="1" applyBorder="1">
      <alignment/>
      <protection/>
    </xf>
    <xf numFmtId="3" fontId="0" fillId="0" borderId="4" xfId="0" applyNumberFormat="1" applyBorder="1" applyAlignment="1">
      <alignment horizontal="right"/>
    </xf>
    <xf numFmtId="3" fontId="2" fillId="0" borderId="0" xfId="23" applyNumberFormat="1" applyFont="1" applyBorder="1" applyProtection="1">
      <alignment/>
      <protection/>
    </xf>
    <xf numFmtId="3" fontId="2" fillId="0" borderId="9" xfId="23" applyNumberFormat="1" applyFont="1" applyBorder="1" applyProtection="1">
      <alignment/>
      <protection/>
    </xf>
    <xf numFmtId="3" fontId="0" fillId="0" borderId="0" xfId="0" applyNumberFormat="1" applyAlignment="1">
      <alignment wrapText="1"/>
    </xf>
    <xf numFmtId="0" fontId="0" fillId="0" borderId="10" xfId="19" applyFont="1" applyBorder="1">
      <alignment/>
      <protection/>
    </xf>
    <xf numFmtId="0" fontId="0" fillId="0" borderId="14" xfId="19" applyFont="1" applyBorder="1">
      <alignment/>
      <protection/>
    </xf>
    <xf numFmtId="3" fontId="0" fillId="0" borderId="5" xfId="23" applyNumberFormat="1" applyFont="1" applyBorder="1" applyAlignment="1">
      <alignment horizontal="right"/>
      <protection/>
    </xf>
    <xf numFmtId="3" fontId="0" fillId="0" borderId="15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right" wrapText="1"/>
    </xf>
    <xf numFmtId="0" fontId="2" fillId="0" borderId="0" xfId="23" applyFont="1">
      <alignment/>
      <protection/>
    </xf>
    <xf numFmtId="3" fontId="0" fillId="0" borderId="4" xfId="23" applyNumberFormat="1" applyFont="1" applyBorder="1" applyAlignment="1" applyProtection="1">
      <alignment horizontal="right"/>
      <protection/>
    </xf>
    <xf numFmtId="3" fontId="2" fillId="0" borderId="4" xfId="23" applyNumberFormat="1" applyFont="1" applyBorder="1" applyAlignment="1" applyProtection="1">
      <alignment horizontal="right"/>
      <protection/>
    </xf>
    <xf numFmtId="181" fontId="0" fillId="0" borderId="4" xfId="24" applyNumberFormat="1" applyFont="1" applyBorder="1" applyAlignment="1" applyProtection="1">
      <alignment horizontal="right"/>
      <protection/>
    </xf>
    <xf numFmtId="3" fontId="0" fillId="0" borderId="3" xfId="0" applyNumberFormat="1" applyBorder="1" applyAlignment="1">
      <alignment horizontal="right"/>
    </xf>
    <xf numFmtId="3" fontId="0" fillId="0" borderId="4" xfId="23" applyNumberFormat="1" applyFont="1" applyBorder="1" applyAlignment="1">
      <alignment horizontal="right"/>
      <protection/>
    </xf>
    <xf numFmtId="3" fontId="0" fillId="0" borderId="0" xfId="23" applyNumberFormat="1" applyFont="1" applyBorder="1" applyAlignment="1">
      <alignment horizontal="right"/>
      <protection/>
    </xf>
    <xf numFmtId="3" fontId="0" fillId="0" borderId="0" xfId="23" applyNumberFormat="1" applyFont="1" applyBorder="1">
      <alignment/>
      <protection/>
    </xf>
    <xf numFmtId="181" fontId="0" fillId="0" borderId="5" xfId="24" applyNumberFormat="1" applyFont="1" applyBorder="1" applyAlignment="1" applyProtection="1">
      <alignment horizontal="right"/>
      <protection/>
    </xf>
    <xf numFmtId="3" fontId="2" fillId="0" borderId="0" xfId="23" applyNumberFormat="1" applyFont="1" applyBorder="1" applyAlignment="1" applyProtection="1">
      <alignment horizontal="right"/>
      <protection/>
    </xf>
    <xf numFmtId="3" fontId="0" fillId="0" borderId="3" xfId="23" applyNumberFormat="1" applyFont="1" applyBorder="1" applyAlignment="1">
      <alignment horizontal="right"/>
      <protection/>
    </xf>
    <xf numFmtId="3" fontId="2" fillId="0" borderId="3" xfId="23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23" applyFont="1" applyBorder="1">
      <alignment/>
      <protection/>
    </xf>
    <xf numFmtId="181" fontId="0" fillId="0" borderId="5" xfId="25" applyNumberFormat="1" applyFont="1" applyBorder="1" applyAlignment="1" applyProtection="1">
      <alignment horizontal="right"/>
      <protection/>
    </xf>
    <xf numFmtId="181" fontId="0" fillId="0" borderId="4" xfId="25" applyNumberFormat="1" applyFont="1" applyBorder="1" applyAlignment="1" applyProtection="1">
      <alignment horizontal="right"/>
      <protection/>
    </xf>
    <xf numFmtId="3" fontId="0" fillId="0" borderId="5" xfId="26" applyNumberFormat="1" applyFont="1" applyBorder="1">
      <alignment/>
      <protection/>
    </xf>
    <xf numFmtId="3" fontId="0" fillId="0" borderId="4" xfId="26" applyNumberFormat="1" applyFont="1" applyBorder="1" applyProtection="1">
      <alignment/>
      <protection/>
    </xf>
    <xf numFmtId="3" fontId="0" fillId="0" borderId="0" xfId="26" applyNumberFormat="1" applyFont="1" applyBorder="1">
      <alignment/>
      <protection/>
    </xf>
    <xf numFmtId="3" fontId="0" fillId="0" borderId="5" xfId="26" applyNumberFormat="1" applyFont="1" applyBorder="1" applyProtection="1">
      <alignment/>
      <protection/>
    </xf>
    <xf numFmtId="3" fontId="0" fillId="0" borderId="5" xfId="24" applyNumberFormat="1" applyFont="1" applyBorder="1" applyAlignment="1" applyProtection="1">
      <alignment horizontal="right"/>
      <protection/>
    </xf>
    <xf numFmtId="3" fontId="0" fillId="0" borderId="5" xfId="26" applyNumberFormat="1" applyFont="1" applyBorder="1" applyAlignment="1" applyProtection="1">
      <alignment horizontal="right"/>
      <protection/>
    </xf>
    <xf numFmtId="181" fontId="0" fillId="0" borderId="4" xfId="26" applyNumberFormat="1" applyFont="1" applyBorder="1" applyAlignment="1" applyProtection="1">
      <alignment horizontal="right"/>
      <protection/>
    </xf>
    <xf numFmtId="181" fontId="0" fillId="0" borderId="5" xfId="26" applyNumberFormat="1" applyFont="1" applyBorder="1" applyAlignment="1" applyProtection="1">
      <alignment horizontal="right"/>
      <protection/>
    </xf>
    <xf numFmtId="3" fontId="0" fillId="0" borderId="4" xfId="30" applyNumberFormat="1" applyFont="1" applyBorder="1" applyProtection="1">
      <alignment/>
      <protection/>
    </xf>
    <xf numFmtId="3" fontId="0" fillId="0" borderId="4" xfId="30" applyNumberFormat="1" applyFont="1" applyBorder="1" applyAlignment="1">
      <alignment horizontal="right"/>
      <protection/>
    </xf>
    <xf numFmtId="3" fontId="0" fillId="0" borderId="0" xfId="30" applyNumberFormat="1" applyFont="1" applyAlignment="1">
      <alignment horizontal="right"/>
      <protection/>
    </xf>
    <xf numFmtId="3" fontId="0" fillId="0" borderId="4" xfId="30" applyNumberFormat="1" applyFont="1" applyBorder="1">
      <alignment/>
      <protection/>
    </xf>
    <xf numFmtId="3" fontId="0" fillId="0" borderId="0" xfId="30" applyNumberFormat="1" applyFont="1">
      <alignment/>
      <protection/>
    </xf>
    <xf numFmtId="3" fontId="0" fillId="0" borderId="4" xfId="30" applyNumberFormat="1" applyFont="1" applyBorder="1" applyAlignment="1" applyProtection="1">
      <alignment horizontal="right"/>
      <protection/>
    </xf>
    <xf numFmtId="3" fontId="2" fillId="0" borderId="8" xfId="30" applyNumberFormat="1" applyFont="1" applyBorder="1" applyProtection="1">
      <alignment/>
      <protection/>
    </xf>
    <xf numFmtId="3" fontId="2" fillId="0" borderId="8" xfId="30" applyNumberFormat="1" applyFont="1" applyBorder="1">
      <alignment/>
      <protection/>
    </xf>
    <xf numFmtId="3" fontId="2" fillId="0" borderId="9" xfId="30" applyNumberFormat="1" applyFont="1" applyBorder="1">
      <alignment/>
      <protection/>
    </xf>
    <xf numFmtId="181" fontId="0" fillId="0" borderId="5" xfId="22" applyNumberFormat="1" applyFont="1" applyBorder="1" applyAlignment="1" applyProtection="1">
      <alignment horizontal="right"/>
      <protection/>
    </xf>
    <xf numFmtId="3" fontId="0" fillId="0" borderId="3" xfId="23" applyNumberFormat="1" applyFont="1" applyBorder="1" applyProtection="1">
      <alignment/>
      <protection/>
    </xf>
    <xf numFmtId="3" fontId="2" fillId="0" borderId="7" xfId="23" applyNumberFormat="1" applyFont="1" applyBorder="1" applyProtection="1">
      <alignment/>
      <protection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3" applyFont="1" applyFill="1" applyAlignment="1">
      <alignment horizontal="center"/>
      <protection/>
    </xf>
    <xf numFmtId="0" fontId="0" fillId="0" borderId="0" xfId="27" applyFont="1" applyFill="1">
      <alignment/>
      <protection/>
    </xf>
    <xf numFmtId="181" fontId="0" fillId="0" borderId="0" xfId="27" applyNumberFormat="1" applyFont="1" applyFill="1" applyProtection="1">
      <alignment/>
      <protection/>
    </xf>
    <xf numFmtId="0" fontId="0" fillId="0" borderId="1" xfId="27" applyFont="1" applyFill="1" applyBorder="1">
      <alignment/>
      <protection/>
    </xf>
    <xf numFmtId="0" fontId="0" fillId="0" borderId="3" xfId="27" applyFont="1" applyFill="1" applyBorder="1" applyAlignment="1">
      <alignment horizontal="center"/>
      <protection/>
    </xf>
    <xf numFmtId="0" fontId="0" fillId="0" borderId="2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16" xfId="27" applyNumberFormat="1" applyFont="1" applyFill="1" applyBorder="1" applyProtection="1">
      <alignment/>
      <protection/>
    </xf>
    <xf numFmtId="181" fontId="0" fillId="0" borderId="14" xfId="27" applyNumberFormat="1" applyFont="1" applyFill="1" applyBorder="1" applyProtection="1">
      <alignment/>
      <protection/>
    </xf>
    <xf numFmtId="0" fontId="0" fillId="0" borderId="7" xfId="27" applyFont="1" applyFill="1" applyBorder="1">
      <alignment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12" xfId="24" applyFont="1" applyFill="1" applyBorder="1" applyAlignment="1" applyProtection="1">
      <alignment horizontal="center"/>
      <protection/>
    </xf>
    <xf numFmtId="0" fontId="0" fillId="0" borderId="17" xfId="24" applyFont="1" applyFill="1" applyBorder="1" applyAlignment="1" applyProtection="1">
      <alignment horizontal="center"/>
      <protection/>
    </xf>
    <xf numFmtId="0" fontId="0" fillId="0" borderId="3" xfId="27" applyFont="1" applyFill="1" applyBorder="1">
      <alignment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4" xfId="27" applyNumberFormat="1" applyFont="1" applyFill="1" applyBorder="1" applyAlignment="1" applyProtection="1">
      <alignment horizontal="right"/>
      <protection/>
    </xf>
    <xf numFmtId="181" fontId="0" fillId="0" borderId="18" xfId="27" applyNumberFormat="1" applyFont="1" applyFill="1" applyBorder="1" applyAlignment="1" applyProtection="1">
      <alignment horizontal="right"/>
      <protection/>
    </xf>
    <xf numFmtId="181" fontId="0" fillId="0" borderId="5" xfId="27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3" xfId="23" applyFont="1" applyFill="1" applyBorder="1">
      <alignment/>
      <protection/>
    </xf>
    <xf numFmtId="3" fontId="0" fillId="0" borderId="4" xfId="0" applyNumberFormat="1" applyFill="1" applyBorder="1" applyAlignment="1">
      <alignment horizontal="right"/>
    </xf>
    <xf numFmtId="3" fontId="0" fillId="0" borderId="4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right"/>
      <protection/>
    </xf>
    <xf numFmtId="3" fontId="0" fillId="0" borderId="4" xfId="23" applyNumberFormat="1" applyFont="1" applyFill="1" applyBorder="1" applyAlignment="1" applyProtection="1">
      <alignment horizontal="right"/>
      <protection/>
    </xf>
    <xf numFmtId="0" fontId="0" fillId="0" borderId="4" xfId="27" applyFont="1" applyFill="1" applyBorder="1">
      <alignment/>
      <protection/>
    </xf>
    <xf numFmtId="0" fontId="0" fillId="0" borderId="5" xfId="27" applyFont="1" applyFill="1" applyBorder="1">
      <alignment/>
      <protection/>
    </xf>
    <xf numFmtId="0" fontId="2" fillId="0" borderId="7" xfId="27" applyFont="1" applyFill="1" applyBorder="1">
      <alignment/>
      <protection/>
    </xf>
    <xf numFmtId="181" fontId="2" fillId="0" borderId="8" xfId="27" applyNumberFormat="1" applyFont="1" applyFill="1" applyBorder="1" applyProtection="1">
      <alignment/>
      <protection/>
    </xf>
    <xf numFmtId="181" fontId="2" fillId="0" borderId="9" xfId="27" applyNumberFormat="1" applyFont="1" applyFill="1" applyBorder="1" applyProtection="1">
      <alignment/>
      <protection/>
    </xf>
    <xf numFmtId="0" fontId="0" fillId="0" borderId="0" xfId="24" applyFont="1" applyFill="1" applyProtection="1">
      <alignment/>
      <protection/>
    </xf>
    <xf numFmtId="0" fontId="0" fillId="0" borderId="0" xfId="23" applyFont="1" applyFill="1">
      <alignment/>
      <protection/>
    </xf>
    <xf numFmtId="3" fontId="0" fillId="0" borderId="4" xfId="0" applyNumberFormat="1" applyFill="1" applyBorder="1" applyAlignment="1">
      <alignment wrapText="1"/>
    </xf>
    <xf numFmtId="0" fontId="0" fillId="0" borderId="4" xfId="27" applyFont="1" applyFill="1" applyBorder="1" applyAlignment="1">
      <alignment horizontal="right"/>
      <protection/>
    </xf>
    <xf numFmtId="0" fontId="0" fillId="0" borderId="5" xfId="27" applyFont="1" applyFill="1" applyBorder="1" applyAlignment="1">
      <alignment horizontal="right"/>
      <protection/>
    </xf>
    <xf numFmtId="0" fontId="0" fillId="0" borderId="1" xfId="28" applyFont="1" applyFill="1" applyBorder="1">
      <alignment/>
      <protection/>
    </xf>
    <xf numFmtId="3" fontId="0" fillId="0" borderId="2" xfId="28" applyNumberFormat="1" applyFont="1" applyFill="1" applyBorder="1" applyProtection="1">
      <alignment/>
      <protection/>
    </xf>
    <xf numFmtId="3" fontId="0" fillId="0" borderId="2" xfId="28" applyNumberFormat="1" applyFont="1" applyFill="1" applyBorder="1" applyAlignment="1" applyProtection="1">
      <alignment horizontal="right"/>
      <protection/>
    </xf>
    <xf numFmtId="3" fontId="0" fillId="0" borderId="5" xfId="28" applyNumberFormat="1" applyFont="1" applyFill="1" applyBorder="1" applyAlignment="1">
      <alignment horizontal="right"/>
      <protection/>
    </xf>
    <xf numFmtId="0" fontId="0" fillId="0" borderId="3" xfId="28" applyFont="1" applyFill="1" applyBorder="1">
      <alignment/>
      <protection/>
    </xf>
    <xf numFmtId="3" fontId="0" fillId="0" borderId="4" xfId="28" applyNumberFormat="1" applyFont="1" applyFill="1" applyBorder="1" applyProtection="1">
      <alignment/>
      <protection/>
    </xf>
    <xf numFmtId="3" fontId="0" fillId="0" borderId="4" xfId="28" applyNumberFormat="1" applyFont="1" applyFill="1" applyBorder="1" applyAlignment="1" applyProtection="1">
      <alignment horizontal="right"/>
      <protection/>
    </xf>
    <xf numFmtId="3" fontId="0" fillId="0" borderId="5" xfId="28" applyNumberFormat="1" applyFont="1" applyFill="1" applyBorder="1" applyProtection="1">
      <alignment/>
      <protection/>
    </xf>
    <xf numFmtId="3" fontId="0" fillId="0" borderId="4" xfId="28" applyNumberFormat="1" applyFont="1" applyFill="1" applyBorder="1">
      <alignment/>
      <protection/>
    </xf>
    <xf numFmtId="3" fontId="0" fillId="0" borderId="5" xfId="28" applyNumberFormat="1" applyFont="1" applyFill="1" applyBorder="1">
      <alignment/>
      <protection/>
    </xf>
    <xf numFmtId="0" fontId="0" fillId="0" borderId="0" xfId="28" applyFont="1" applyFill="1">
      <alignment/>
      <protection/>
    </xf>
    <xf numFmtId="3" fontId="0" fillId="0" borderId="6" xfId="28" applyNumberFormat="1" applyFont="1" applyFill="1" applyBorder="1">
      <alignment/>
      <protection/>
    </xf>
    <xf numFmtId="3" fontId="0" fillId="0" borderId="4" xfId="28" applyNumberFormat="1" applyFont="1" applyFill="1" applyBorder="1" applyAlignment="1">
      <alignment horizontal="right"/>
      <protection/>
    </xf>
    <xf numFmtId="0" fontId="0" fillId="0" borderId="0" xfId="28" applyFont="1" applyFill="1" applyAlignment="1">
      <alignment horizontal="center"/>
      <protection/>
    </xf>
    <xf numFmtId="0" fontId="0" fillId="0" borderId="1" xfId="29" applyFont="1" applyFill="1" applyBorder="1">
      <alignment/>
      <protection/>
    </xf>
    <xf numFmtId="181" fontId="0" fillId="0" borderId="2" xfId="29" applyNumberFormat="1" applyFont="1" applyFill="1" applyBorder="1" applyProtection="1">
      <alignment/>
      <protection/>
    </xf>
    <xf numFmtId="181" fontId="0" fillId="0" borderId="2" xfId="29" applyNumberFormat="1" applyFont="1" applyFill="1" applyBorder="1" applyAlignment="1" applyProtection="1">
      <alignment horizontal="right"/>
      <protection/>
    </xf>
    <xf numFmtId="181" fontId="0" fillId="0" borderId="6" xfId="29" applyNumberFormat="1" applyFont="1" applyFill="1" applyBorder="1" applyAlignment="1" applyProtection="1">
      <alignment horizontal="right"/>
      <protection/>
    </xf>
    <xf numFmtId="0" fontId="0" fillId="0" borderId="3" xfId="29" applyFont="1" applyFill="1" applyBorder="1">
      <alignment/>
      <protection/>
    </xf>
    <xf numFmtId="181" fontId="0" fillId="0" borderId="4" xfId="29" applyNumberFormat="1" applyFont="1" applyFill="1" applyBorder="1" applyProtection="1">
      <alignment/>
      <protection/>
    </xf>
    <xf numFmtId="181" fontId="0" fillId="0" borderId="5" xfId="29" applyNumberFormat="1" applyFont="1" applyFill="1" applyBorder="1" applyProtection="1">
      <alignment/>
      <protection/>
    </xf>
    <xf numFmtId="181" fontId="0" fillId="0" borderId="4" xfId="29" applyNumberFormat="1" applyFont="1" applyFill="1" applyBorder="1" applyAlignment="1" applyProtection="1">
      <alignment horizontal="right"/>
      <protection/>
    </xf>
    <xf numFmtId="181" fontId="0" fillId="0" borderId="5" xfId="29" applyNumberFormat="1" applyFont="1" applyFill="1" applyBorder="1" applyAlignment="1" applyProtection="1">
      <alignment horizontal="right"/>
      <protection/>
    </xf>
    <xf numFmtId="0" fontId="0" fillId="0" borderId="4" xfId="29" applyFont="1" applyFill="1" applyBorder="1">
      <alignment/>
      <protection/>
    </xf>
    <xf numFmtId="0" fontId="0" fillId="0" borderId="5" xfId="29" applyFont="1" applyFill="1" applyBorder="1">
      <alignment/>
      <protection/>
    </xf>
    <xf numFmtId="0" fontId="2" fillId="0" borderId="7" xfId="29" applyFont="1" applyFill="1" applyBorder="1">
      <alignment/>
      <protection/>
    </xf>
    <xf numFmtId="181" fontId="2" fillId="0" borderId="8" xfId="29" applyNumberFormat="1" applyFont="1" applyFill="1" applyBorder="1" applyProtection="1">
      <alignment/>
      <protection/>
    </xf>
    <xf numFmtId="181" fontId="2" fillId="0" borderId="9" xfId="29" applyNumberFormat="1" applyFont="1" applyFill="1" applyBorder="1" applyProtection="1">
      <alignment/>
      <protection/>
    </xf>
    <xf numFmtId="0" fontId="0" fillId="0" borderId="0" xfId="29" applyFont="1" applyFill="1">
      <alignment/>
      <protection/>
    </xf>
    <xf numFmtId="181" fontId="0" fillId="0" borderId="6" xfId="29" applyNumberFormat="1" applyFont="1" applyFill="1" applyBorder="1" applyProtection="1">
      <alignment/>
      <protection/>
    </xf>
    <xf numFmtId="0" fontId="0" fillId="0" borderId="0" xfId="29" applyFont="1" applyFill="1" applyAlignment="1">
      <alignment horizontal="center"/>
      <protection/>
    </xf>
    <xf numFmtId="0" fontId="0" fillId="0" borderId="1" xfId="30" applyFont="1" applyFill="1" applyBorder="1">
      <alignment/>
      <protection/>
    </xf>
    <xf numFmtId="181" fontId="0" fillId="0" borderId="2" xfId="30" applyNumberFormat="1" applyFont="1" applyFill="1" applyBorder="1" applyProtection="1">
      <alignment/>
      <protection/>
    </xf>
    <xf numFmtId="181" fontId="0" fillId="0" borderId="6" xfId="30" applyNumberFormat="1" applyFont="1" applyFill="1" applyBorder="1" applyProtection="1">
      <alignment/>
      <protection/>
    </xf>
    <xf numFmtId="0" fontId="0" fillId="0" borderId="3" xfId="30" applyFont="1" applyFill="1" applyBorder="1">
      <alignment/>
      <protection/>
    </xf>
    <xf numFmtId="181" fontId="0" fillId="0" borderId="4" xfId="30" applyNumberFormat="1" applyFont="1" applyFill="1" applyBorder="1" applyProtection="1">
      <alignment/>
      <protection/>
    </xf>
    <xf numFmtId="181" fontId="0" fillId="0" borderId="4" xfId="30" applyNumberFormat="1" applyFont="1" applyFill="1" applyBorder="1" applyAlignment="1" applyProtection="1">
      <alignment horizontal="right"/>
      <protection/>
    </xf>
    <xf numFmtId="181" fontId="0" fillId="0" borderId="5" xfId="30" applyNumberFormat="1" applyFont="1" applyFill="1" applyBorder="1" applyAlignment="1" applyProtection="1">
      <alignment horizontal="right"/>
      <protection/>
    </xf>
    <xf numFmtId="181" fontId="0" fillId="0" borderId="5" xfId="30" applyNumberFormat="1" applyFont="1" applyFill="1" applyBorder="1" applyProtection="1">
      <alignment/>
      <protection/>
    </xf>
    <xf numFmtId="0" fontId="0" fillId="0" borderId="4" xfId="30" applyFont="1" applyFill="1" applyBorder="1">
      <alignment/>
      <protection/>
    </xf>
    <xf numFmtId="3" fontId="0" fillId="0" borderId="3" xfId="0" applyNumberFormat="1" applyFill="1" applyBorder="1" applyAlignment="1">
      <alignment horizontal="right"/>
    </xf>
    <xf numFmtId="0" fontId="0" fillId="0" borderId="5" xfId="30" applyFont="1" applyFill="1" applyBorder="1">
      <alignment/>
      <protection/>
    </xf>
    <xf numFmtId="0" fontId="2" fillId="0" borderId="7" xfId="30" applyFont="1" applyFill="1" applyBorder="1">
      <alignment/>
      <protection/>
    </xf>
    <xf numFmtId="0" fontId="0" fillId="0" borderId="0" xfId="30" applyFont="1" applyFill="1">
      <alignment/>
      <protection/>
    </xf>
    <xf numFmtId="181" fontId="0" fillId="0" borderId="4" xfId="21" applyNumberFormat="1" applyFont="1" applyBorder="1" applyAlignment="1" applyProtection="1">
      <alignment horizontal="right"/>
      <protection/>
    </xf>
    <xf numFmtId="181" fontId="0" fillId="0" borderId="5" xfId="21" applyNumberFormat="1" applyFont="1" applyBorder="1" applyAlignment="1" applyProtection="1">
      <alignment horizontal="right"/>
      <protection/>
    </xf>
    <xf numFmtId="3" fontId="0" fillId="0" borderId="0" xfId="23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3" xfId="0" applyNumberFormat="1" applyFill="1" applyBorder="1" applyAlignment="1">
      <alignment wrapText="1"/>
    </xf>
    <xf numFmtId="3" fontId="0" fillId="0" borderId="4" xfId="27" applyNumberFormat="1" applyFont="1" applyFill="1" applyBorder="1" applyProtection="1">
      <alignment/>
      <protection/>
    </xf>
    <xf numFmtId="3" fontId="0" fillId="0" borderId="4" xfId="27" applyNumberFormat="1" applyFont="1" applyFill="1" applyBorder="1" applyAlignment="1" applyProtection="1">
      <alignment horizontal="right"/>
      <protection/>
    </xf>
    <xf numFmtId="3" fontId="0" fillId="0" borderId="18" xfId="27" applyNumberFormat="1" applyFont="1" applyFill="1" applyBorder="1" applyAlignment="1" applyProtection="1">
      <alignment horizontal="right"/>
      <protection/>
    </xf>
    <xf numFmtId="3" fontId="0" fillId="0" borderId="5" xfId="27" applyNumberFormat="1" applyFont="1" applyFill="1" applyBorder="1" applyProtection="1">
      <alignment/>
      <protection/>
    </xf>
    <xf numFmtId="3" fontId="0" fillId="0" borderId="5" xfId="27" applyNumberFormat="1" applyFont="1" applyFill="1" applyBorder="1" applyAlignment="1" applyProtection="1">
      <alignment horizontal="right"/>
      <protection/>
    </xf>
    <xf numFmtId="3" fontId="0" fillId="0" borderId="0" xfId="27" applyNumberFormat="1" applyFont="1">
      <alignment/>
      <protection/>
    </xf>
    <xf numFmtId="0" fontId="6" fillId="0" borderId="0" xfId="0" applyFont="1" applyAlignment="1">
      <alignment horizontal="center" vertical="center" wrapText="1"/>
    </xf>
    <xf numFmtId="3" fontId="0" fillId="0" borderId="5" xfId="0" applyNumberFormat="1" applyFill="1" applyBorder="1" applyAlignment="1">
      <alignment horizontal="right"/>
    </xf>
    <xf numFmtId="181" fontId="0" fillId="0" borderId="0" xfId="29" applyNumberFormat="1" applyFont="1" applyFill="1">
      <alignment/>
      <protection/>
    </xf>
    <xf numFmtId="0" fontId="0" fillId="0" borderId="12" xfId="19" applyFont="1" applyBorder="1" applyAlignment="1" applyProtection="1">
      <alignment horizontal="center"/>
      <protection/>
    </xf>
    <xf numFmtId="181" fontId="0" fillId="0" borderId="0" xfId="23" applyNumberFormat="1" applyFont="1">
      <alignment/>
      <protection/>
    </xf>
    <xf numFmtId="0" fontId="0" fillId="0" borderId="0" xfId="19" applyFont="1" applyBorder="1" applyProtection="1">
      <alignment/>
      <protection/>
    </xf>
    <xf numFmtId="0" fontId="0" fillId="0" borderId="9" xfId="19" applyFont="1" applyBorder="1" applyAlignment="1" applyProtection="1">
      <alignment horizontal="center"/>
      <protection/>
    </xf>
    <xf numFmtId="0" fontId="3" fillId="0" borderId="0" xfId="23" applyFont="1" applyBorder="1" applyAlignment="1">
      <alignment horizontal="center"/>
      <protection/>
    </xf>
    <xf numFmtId="181" fontId="0" fillId="0" borderId="3" xfId="20" applyNumberFormat="1" applyFont="1" applyBorder="1" applyProtection="1">
      <alignment/>
      <protection/>
    </xf>
    <xf numFmtId="0" fontId="0" fillId="0" borderId="0" xfId="22" applyFont="1" applyBorder="1">
      <alignment/>
      <protection/>
    </xf>
    <xf numFmtId="0" fontId="7" fillId="0" borderId="0" xfId="19" applyFont="1">
      <alignment/>
      <protection/>
    </xf>
    <xf numFmtId="3" fontId="2" fillId="0" borderId="8" xfId="23" applyNumberFormat="1" applyFont="1" applyBorder="1" applyProtection="1">
      <alignment/>
      <protection/>
    </xf>
    <xf numFmtId="183" fontId="0" fillId="0" borderId="0" xfId="22" applyNumberFormat="1" applyFont="1">
      <alignment/>
      <protection/>
    </xf>
    <xf numFmtId="0" fontId="2" fillId="0" borderId="0" xfId="0" applyFont="1" applyAlignment="1">
      <alignment/>
    </xf>
    <xf numFmtId="183" fontId="2" fillId="0" borderId="15" xfId="0" applyNumberFormat="1" applyFont="1" applyBorder="1" applyAlignment="1">
      <alignment/>
    </xf>
    <xf numFmtId="183" fontId="2" fillId="0" borderId="18" xfId="0" applyNumberFormat="1" applyFont="1" applyBorder="1" applyAlignment="1">
      <alignment/>
    </xf>
    <xf numFmtId="183" fontId="2" fillId="0" borderId="18" xfId="22" applyNumberFormat="1" applyFont="1" applyBorder="1">
      <alignment/>
      <protection/>
    </xf>
    <xf numFmtId="183" fontId="0" fillId="0" borderId="4" xfId="0" applyNumberFormat="1" applyBorder="1" applyAlignment="1">
      <alignment/>
    </xf>
    <xf numFmtId="183" fontId="0" fillId="0" borderId="5" xfId="0" applyNumberFormat="1" applyBorder="1" applyAlignment="1">
      <alignment horizontal="right"/>
    </xf>
    <xf numFmtId="183" fontId="2" fillId="0" borderId="5" xfId="22" applyNumberFormat="1" applyFont="1" applyBorder="1">
      <alignment/>
      <protection/>
    </xf>
    <xf numFmtId="183" fontId="0" fillId="0" borderId="5" xfId="0" applyNumberFormat="1" applyBorder="1" applyAlignment="1">
      <alignment/>
    </xf>
    <xf numFmtId="183" fontId="0" fillId="0" borderId="8" xfId="0" applyNumberFormat="1" applyBorder="1" applyAlignment="1">
      <alignment/>
    </xf>
    <xf numFmtId="183" fontId="0" fillId="0" borderId="9" xfId="0" applyNumberFormat="1" applyBorder="1" applyAlignment="1">
      <alignment/>
    </xf>
    <xf numFmtId="183" fontId="2" fillId="0" borderId="9" xfId="22" applyNumberFormat="1" applyFont="1" applyBorder="1">
      <alignment/>
      <protection/>
    </xf>
    <xf numFmtId="183" fontId="2" fillId="0" borderId="5" xfId="22" applyNumberFormat="1" applyFont="1" applyBorder="1" applyProtection="1">
      <alignment/>
      <protection/>
    </xf>
    <xf numFmtId="183" fontId="0" fillId="0" borderId="3" xfId="0" applyNumberFormat="1" applyBorder="1" applyAlignment="1">
      <alignment/>
    </xf>
    <xf numFmtId="183" fontId="0" fillId="0" borderId="0" xfId="0" applyNumberFormat="1" applyAlignment="1">
      <alignment/>
    </xf>
    <xf numFmtId="183" fontId="2" fillId="0" borderId="9" xfId="22" applyNumberFormat="1" applyFont="1" applyBorder="1" applyProtection="1">
      <alignment/>
      <protection/>
    </xf>
    <xf numFmtId="3" fontId="0" fillId="0" borderId="4" xfId="20" applyNumberFormat="1" applyFont="1" applyBorder="1" applyProtection="1">
      <alignment/>
      <protection/>
    </xf>
    <xf numFmtId="3" fontId="0" fillId="0" borderId="5" xfId="20" applyNumberFormat="1" applyFont="1" applyBorder="1">
      <alignment/>
      <protection/>
    </xf>
    <xf numFmtId="3" fontId="0" fillId="0" borderId="4" xfId="20" applyNumberFormat="1" applyFont="1" applyBorder="1">
      <alignment/>
      <protection/>
    </xf>
    <xf numFmtId="3" fontId="2" fillId="0" borderId="8" xfId="20" applyNumberFormat="1" applyFont="1" applyBorder="1" applyProtection="1">
      <alignment/>
      <protection/>
    </xf>
    <xf numFmtId="3" fontId="2" fillId="0" borderId="9" xfId="20" applyNumberFormat="1" applyFont="1" applyBorder="1" applyProtection="1">
      <alignment/>
      <protection/>
    </xf>
    <xf numFmtId="0" fontId="8" fillId="0" borderId="0" xfId="22" applyFont="1" applyBorder="1" applyAlignment="1">
      <alignment horizontal="center"/>
      <protection/>
    </xf>
    <xf numFmtId="0" fontId="9" fillId="0" borderId="0" xfId="22" applyFont="1">
      <alignment/>
      <protection/>
    </xf>
    <xf numFmtId="0" fontId="9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23" applyFont="1" applyBorder="1" applyAlignment="1">
      <alignment horizontal="center"/>
      <protection/>
    </xf>
    <xf numFmtId="0" fontId="0" fillId="0" borderId="21" xfId="23" applyFont="1" applyBorder="1" applyAlignment="1">
      <alignment horizontal="center"/>
      <protection/>
    </xf>
    <xf numFmtId="3" fontId="0" fillId="2" borderId="4" xfId="0" applyNumberFormat="1" applyFill="1" applyBorder="1" applyAlignment="1">
      <alignment horizontal="right" vertical="center" wrapText="1"/>
    </xf>
    <xf numFmtId="0" fontId="0" fillId="0" borderId="19" xfId="23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7" xfId="28" applyFont="1" applyFill="1" applyBorder="1">
      <alignment/>
      <protection/>
    </xf>
    <xf numFmtId="3" fontId="2" fillId="0" borderId="8" xfId="28" applyNumberFormat="1" applyFont="1" applyFill="1" applyBorder="1" applyProtection="1">
      <alignment/>
      <protection/>
    </xf>
    <xf numFmtId="3" fontId="2" fillId="0" borderId="9" xfId="28" applyNumberFormat="1" applyFont="1" applyFill="1" applyBorder="1" applyProtection="1">
      <alignment/>
      <protection/>
    </xf>
    <xf numFmtId="0" fontId="0" fillId="0" borderId="16" xfId="19" applyFont="1" applyBorder="1" applyAlignment="1" applyProtection="1">
      <alignment horizontal="center"/>
      <protection/>
    </xf>
    <xf numFmtId="0" fontId="0" fillId="0" borderId="14" xfId="19" applyFont="1" applyBorder="1" applyAlignment="1" applyProtection="1">
      <alignment horizontal="center"/>
      <protection/>
    </xf>
    <xf numFmtId="0" fontId="0" fillId="0" borderId="0" xfId="19" applyFont="1" applyBorder="1" applyAlignment="1" applyProtection="1">
      <alignment horizontal="center"/>
      <protection/>
    </xf>
    <xf numFmtId="0" fontId="4" fillId="0" borderId="0" xfId="19" applyFont="1" applyBorder="1" applyAlignment="1" applyProtection="1">
      <alignment horizontal="center"/>
      <protection/>
    </xf>
    <xf numFmtId="0" fontId="0" fillId="0" borderId="6" xfId="19" applyFont="1" applyBorder="1" applyAlignment="1" applyProtection="1">
      <alignment horizontal="center"/>
      <protection/>
    </xf>
    <xf numFmtId="0" fontId="0" fillId="0" borderId="10" xfId="19" applyFont="1" applyBorder="1" applyAlignment="1" applyProtection="1">
      <alignment horizontal="center"/>
      <protection/>
    </xf>
    <xf numFmtId="0" fontId="3" fillId="0" borderId="0" xfId="19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5" fillId="0" borderId="0" xfId="19" applyFont="1" applyBorder="1" applyAlignment="1" applyProtection="1">
      <alignment horizontal="center"/>
      <protection/>
    </xf>
    <xf numFmtId="0" fontId="3" fillId="0" borderId="0" xfId="19" applyFont="1" applyAlignment="1">
      <alignment horizontal="center"/>
      <protection/>
    </xf>
    <xf numFmtId="0" fontId="0" fillId="0" borderId="4" xfId="19" applyFont="1" applyBorder="1" applyAlignment="1">
      <alignment horizontal="center"/>
      <protection/>
    </xf>
    <xf numFmtId="0" fontId="0" fillId="0" borderId="6" xfId="19" applyFont="1" applyBorder="1" applyAlignment="1">
      <alignment horizontal="center"/>
      <protection/>
    </xf>
    <xf numFmtId="0" fontId="0" fillId="0" borderId="10" xfId="19" applyFont="1" applyBorder="1" applyAlignment="1">
      <alignment horizontal="center"/>
      <protection/>
    </xf>
    <xf numFmtId="0" fontId="0" fillId="0" borderId="16" xfId="19" applyFont="1" applyBorder="1" applyAlignment="1">
      <alignment horizontal="center"/>
      <protection/>
    </xf>
    <xf numFmtId="0" fontId="0" fillId="0" borderId="14" xfId="19" applyFont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0" fillId="0" borderId="19" xfId="24" applyFont="1" applyBorder="1" applyAlignment="1" applyProtection="1">
      <alignment horizontal="center"/>
      <protection/>
    </xf>
    <xf numFmtId="0" fontId="0" fillId="0" borderId="21" xfId="24" applyFont="1" applyBorder="1" applyAlignment="1" applyProtection="1">
      <alignment horizontal="center"/>
      <protection/>
    </xf>
    <xf numFmtId="0" fontId="0" fillId="0" borderId="20" xfId="24" applyFont="1" applyBorder="1" applyAlignment="1" applyProtection="1">
      <alignment horizontal="center"/>
      <protection/>
    </xf>
    <xf numFmtId="0" fontId="0" fillId="0" borderId="10" xfId="24" applyFont="1" applyBorder="1" applyAlignment="1" applyProtection="1">
      <alignment horizontal="center"/>
      <protection/>
    </xf>
    <xf numFmtId="0" fontId="5" fillId="0" borderId="0" xfId="24" applyFont="1" applyAlignment="1" applyProtection="1">
      <alignment horizontal="center"/>
      <protection/>
    </xf>
    <xf numFmtId="0" fontId="5" fillId="0" borderId="0" xfId="24" applyFont="1" applyAlignment="1">
      <alignment horizontal="center"/>
      <protection/>
    </xf>
    <xf numFmtId="0" fontId="0" fillId="0" borderId="16" xfId="24" applyFont="1" applyBorder="1" applyAlignment="1" applyProtection="1">
      <alignment horizontal="center"/>
      <protection/>
    </xf>
    <xf numFmtId="0" fontId="0" fillId="0" borderId="14" xfId="24" applyFont="1" applyBorder="1" applyAlignment="1" applyProtection="1">
      <alignment horizontal="center"/>
      <protection/>
    </xf>
    <xf numFmtId="0" fontId="0" fillId="0" borderId="6" xfId="24" applyFont="1" applyBorder="1" applyAlignment="1" applyProtection="1">
      <alignment horizontal="center"/>
      <protection/>
    </xf>
    <xf numFmtId="0" fontId="0" fillId="0" borderId="1" xfId="24" applyFont="1" applyBorder="1" applyAlignment="1" applyProtection="1">
      <alignment horizontal="center"/>
      <protection/>
    </xf>
    <xf numFmtId="0" fontId="0" fillId="0" borderId="20" xfId="25" applyFont="1" applyBorder="1" applyAlignment="1" applyProtection="1">
      <alignment horizontal="center"/>
      <protection/>
    </xf>
    <xf numFmtId="0" fontId="0" fillId="0" borderId="21" xfId="25" applyFont="1" applyBorder="1" applyAlignment="1" applyProtection="1">
      <alignment horizontal="center"/>
      <protection/>
    </xf>
    <xf numFmtId="0" fontId="0" fillId="0" borderId="19" xfId="25" applyFont="1" applyBorder="1" applyAlignment="1" applyProtection="1">
      <alignment horizontal="center"/>
      <protection/>
    </xf>
    <xf numFmtId="0" fontId="5" fillId="0" borderId="0" xfId="25" applyFont="1" applyAlignment="1" applyProtection="1">
      <alignment horizontal="center"/>
      <protection/>
    </xf>
    <xf numFmtId="0" fontId="5" fillId="0" borderId="0" xfId="25" applyFont="1" applyAlignment="1">
      <alignment horizontal="center"/>
      <protection/>
    </xf>
    <xf numFmtId="0" fontId="2" fillId="0" borderId="0" xfId="25" applyFont="1" applyAlignment="1">
      <alignment horizontal="center"/>
      <protection/>
    </xf>
    <xf numFmtId="0" fontId="0" fillId="0" borderId="6" xfId="25" applyFont="1" applyBorder="1" applyAlignment="1" applyProtection="1">
      <alignment horizontal="center"/>
      <protection/>
    </xf>
    <xf numFmtId="0" fontId="0" fillId="0" borderId="10" xfId="25" applyFont="1" applyBorder="1" applyAlignment="1" applyProtection="1">
      <alignment horizontal="center"/>
      <protection/>
    </xf>
    <xf numFmtId="0" fontId="0" fillId="0" borderId="1" xfId="25" applyFont="1" applyBorder="1" applyAlignment="1" applyProtection="1">
      <alignment horizontal="center"/>
      <protection/>
    </xf>
    <xf numFmtId="0" fontId="0" fillId="0" borderId="22" xfId="25" applyFont="1" applyBorder="1" applyAlignment="1" applyProtection="1">
      <alignment horizontal="center"/>
      <protection/>
    </xf>
    <xf numFmtId="0" fontId="5" fillId="0" borderId="0" xfId="26" applyFont="1" applyAlignment="1">
      <alignment horizontal="center"/>
      <protection/>
    </xf>
    <xf numFmtId="0" fontId="0" fillId="0" borderId="6" xfId="26" applyFont="1" applyBorder="1" applyAlignment="1">
      <alignment horizontal="center"/>
      <protection/>
    </xf>
    <xf numFmtId="0" fontId="0" fillId="0" borderId="1" xfId="26" applyFont="1" applyBorder="1" applyAlignment="1">
      <alignment horizontal="center"/>
      <protection/>
    </xf>
    <xf numFmtId="0" fontId="0" fillId="0" borderId="10" xfId="26" applyFont="1" applyBorder="1" applyAlignment="1">
      <alignment horizontal="center"/>
      <protection/>
    </xf>
    <xf numFmtId="0" fontId="0" fillId="0" borderId="19" xfId="26" applyFont="1" applyBorder="1" applyAlignment="1">
      <alignment horizontal="center"/>
      <protection/>
    </xf>
    <xf numFmtId="0" fontId="0" fillId="0" borderId="21" xfId="26" applyFont="1" applyBorder="1" applyAlignment="1">
      <alignment horizontal="center"/>
      <protection/>
    </xf>
    <xf numFmtId="0" fontId="0" fillId="0" borderId="20" xfId="26" applyFont="1" applyBorder="1" applyAlignment="1">
      <alignment horizont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23" applyFont="1" applyFill="1" applyAlignment="1">
      <alignment horizontal="center"/>
      <protection/>
    </xf>
    <xf numFmtId="0" fontId="5" fillId="0" borderId="0" xfId="27" applyFont="1" applyFill="1" applyAlignment="1">
      <alignment horizontal="center"/>
      <protection/>
    </xf>
    <xf numFmtId="0" fontId="0" fillId="0" borderId="6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0" fillId="0" borderId="19" xfId="27" applyFont="1" applyFill="1" applyBorder="1" applyAlignment="1">
      <alignment horizontal="center"/>
      <protection/>
    </xf>
    <xf numFmtId="0" fontId="0" fillId="0" borderId="21" xfId="27" applyFont="1" applyFill="1" applyBorder="1" applyAlignment="1">
      <alignment horizontal="center"/>
      <protection/>
    </xf>
    <xf numFmtId="0" fontId="0" fillId="0" borderId="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0" borderId="0" xfId="28" applyFont="1" applyFill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5" fillId="0" borderId="0" xfId="30" applyFont="1" applyFill="1" applyAlignment="1">
      <alignment horizontal="center"/>
      <protection/>
    </xf>
    <xf numFmtId="0" fontId="2" fillId="0" borderId="0" xfId="30" applyFont="1" applyFill="1" applyAlignment="1">
      <alignment horizontal="center"/>
      <protection/>
    </xf>
    <xf numFmtId="0" fontId="0" fillId="0" borderId="0" xfId="30" applyFont="1" applyBorder="1">
      <alignment/>
      <protection/>
    </xf>
    <xf numFmtId="0" fontId="0" fillId="0" borderId="3" xfId="30" applyFont="1" applyBorder="1">
      <alignment/>
      <protection/>
    </xf>
    <xf numFmtId="0" fontId="5" fillId="0" borderId="0" xfId="30" applyFont="1" applyAlignment="1">
      <alignment horizontal="center"/>
      <protection/>
    </xf>
    <xf numFmtId="0" fontId="0" fillId="0" borderId="10" xfId="27" applyFont="1" applyBorder="1">
      <alignment/>
      <protection/>
    </xf>
    <xf numFmtId="0" fontId="0" fillId="0" borderId="1" xfId="27" applyFont="1" applyBorder="1">
      <alignment/>
      <protection/>
    </xf>
    <xf numFmtId="0" fontId="0" fillId="0" borderId="0" xfId="27" applyFont="1" applyBorder="1" applyAlignment="1">
      <alignment horizontal="center"/>
      <protection/>
    </xf>
    <xf numFmtId="0" fontId="0" fillId="0" borderId="3" xfId="27" applyFont="1" applyBorder="1" applyAlignment="1">
      <alignment horizontal="center"/>
      <protection/>
    </xf>
    <xf numFmtId="0" fontId="0" fillId="0" borderId="11" xfId="27" applyFont="1" applyBorder="1">
      <alignment/>
      <protection/>
    </xf>
    <xf numFmtId="0" fontId="0" fillId="0" borderId="7" xfId="27" applyFont="1" applyBorder="1">
      <alignment/>
      <protection/>
    </xf>
    <xf numFmtId="0" fontId="2" fillId="0" borderId="11" xfId="30" applyFont="1" applyBorder="1">
      <alignment/>
      <protection/>
    </xf>
    <xf numFmtId="0" fontId="2" fillId="0" borderId="7" xfId="30" applyFont="1" applyBorder="1">
      <alignment/>
      <protection/>
    </xf>
    <xf numFmtId="0" fontId="0" fillId="0" borderId="19" xfId="27" applyFont="1" applyBorder="1" applyAlignment="1">
      <alignment horizontal="center"/>
      <protection/>
    </xf>
    <xf numFmtId="0" fontId="0" fillId="0" borderId="21" xfId="27" applyFont="1" applyBorder="1" applyAlignment="1">
      <alignment horizontal="center"/>
      <protection/>
    </xf>
    <xf numFmtId="0" fontId="0" fillId="0" borderId="19" xfId="20" applyFont="1" applyBorder="1" applyAlignment="1">
      <alignment horizontal="center"/>
      <protection/>
    </xf>
    <xf numFmtId="0" fontId="0" fillId="0" borderId="20" xfId="20" applyFont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3" fillId="0" borderId="0" xfId="23" applyFont="1" applyBorder="1" applyAlignment="1">
      <alignment horizontal="center"/>
      <protection/>
    </xf>
    <xf numFmtId="0" fontId="5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0" fillId="0" borderId="19" xfId="22" applyFont="1" applyBorder="1" applyAlignment="1">
      <alignment horizontal="center"/>
      <protection/>
    </xf>
    <xf numFmtId="0" fontId="0" fillId="0" borderId="21" xfId="22" applyFont="1" applyBorder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5" fillId="0" borderId="0" xfId="22" applyFont="1" applyBorder="1" applyAlignment="1">
      <alignment horizontal="center"/>
      <protection/>
    </xf>
    <xf numFmtId="0" fontId="0" fillId="0" borderId="20" xfId="22" applyFont="1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G41"/>
  <sheetViews>
    <sheetView showGridLines="0" tabSelected="1" zoomScale="75" zoomScaleNormal="75" zoomScaleSheetLayoutView="75" workbookViewId="0" topLeftCell="A1">
      <selection activeCell="A1" sqref="A1:G1"/>
    </sheetView>
  </sheetViews>
  <sheetFormatPr defaultColWidth="12.57421875" defaultRowHeight="12.75"/>
  <cols>
    <col min="1" max="1" width="44.28125" style="1" customWidth="1"/>
    <col min="2" max="2" width="16.7109375" style="1" customWidth="1"/>
    <col min="3" max="3" width="18.7109375" style="1" customWidth="1"/>
    <col min="4" max="7" width="18.57421875" style="1" customWidth="1"/>
    <col min="8" max="16384" width="19.140625" style="1" customWidth="1"/>
  </cols>
  <sheetData>
    <row r="1" spans="1:7" ht="18">
      <c r="A1" s="416" t="s">
        <v>139</v>
      </c>
      <c r="B1" s="417"/>
      <c r="C1" s="417"/>
      <c r="D1" s="417"/>
      <c r="E1" s="417"/>
      <c r="F1" s="417"/>
      <c r="G1" s="417"/>
    </row>
    <row r="2" spans="1:7" ht="12.75">
      <c r="A2" s="369"/>
      <c r="B2" s="369"/>
      <c r="C2" s="369"/>
      <c r="D2" s="369"/>
      <c r="E2" s="369"/>
      <c r="F2" s="369"/>
      <c r="G2" s="201"/>
    </row>
    <row r="3" spans="1:7" ht="15">
      <c r="A3" s="418" t="s">
        <v>237</v>
      </c>
      <c r="B3" s="418"/>
      <c r="C3" s="418"/>
      <c r="D3" s="418"/>
      <c r="E3" s="418"/>
      <c r="F3" s="418"/>
      <c r="G3" s="417"/>
    </row>
    <row r="4" spans="1:7" ht="15.75">
      <c r="A4" s="413"/>
      <c r="B4" s="413"/>
      <c r="C4" s="413"/>
      <c r="D4" s="413"/>
      <c r="E4" s="413"/>
      <c r="F4" s="413"/>
      <c r="G4" s="201"/>
    </row>
    <row r="5" spans="1:7" ht="12.75">
      <c r="A5" s="211"/>
      <c r="B5" s="212" t="s">
        <v>0</v>
      </c>
      <c r="C5" s="414" t="s">
        <v>1</v>
      </c>
      <c r="D5" s="415"/>
      <c r="E5" s="415"/>
      <c r="F5" s="415"/>
      <c r="G5" s="230"/>
    </row>
    <row r="6" spans="1:7" ht="12.75">
      <c r="A6" s="213" t="s">
        <v>2</v>
      </c>
      <c r="B6" s="214" t="s">
        <v>3</v>
      </c>
      <c r="C6" s="410"/>
      <c r="D6" s="411"/>
      <c r="E6" s="411"/>
      <c r="F6" s="412"/>
      <c r="G6" s="231"/>
    </row>
    <row r="7" spans="1:7" ht="13.5" thickBot="1">
      <c r="A7" s="215"/>
      <c r="B7" s="216" t="s">
        <v>4</v>
      </c>
      <c r="C7" s="216" t="s">
        <v>5</v>
      </c>
      <c r="D7" s="216" t="s">
        <v>6</v>
      </c>
      <c r="E7" s="216" t="s">
        <v>7</v>
      </c>
      <c r="F7" s="367" t="s">
        <v>8</v>
      </c>
      <c r="G7" s="370">
        <v>1999</v>
      </c>
    </row>
    <row r="8" spans="1:7" ht="12.75">
      <c r="A8" s="213" t="s">
        <v>9</v>
      </c>
      <c r="B8" s="214" t="s">
        <v>10</v>
      </c>
      <c r="C8" s="206">
        <v>3007.626</v>
      </c>
      <c r="D8" s="206">
        <v>2571.059</v>
      </c>
      <c r="E8" s="206">
        <v>2375.327</v>
      </c>
      <c r="F8" s="207">
        <v>2284.944</v>
      </c>
      <c r="G8" s="207">
        <v>1790.162</v>
      </c>
    </row>
    <row r="9" spans="1:7" ht="12.75">
      <c r="A9" s="213" t="s">
        <v>134</v>
      </c>
      <c r="B9" s="214" t="s">
        <v>10</v>
      </c>
      <c r="C9" s="206">
        <v>150.948</v>
      </c>
      <c r="D9" s="206">
        <v>45.457</v>
      </c>
      <c r="E9" s="206">
        <v>31.315</v>
      </c>
      <c r="F9" s="207">
        <v>20.776</v>
      </c>
      <c r="G9" s="207">
        <v>25.706</v>
      </c>
    </row>
    <row r="10" spans="1:7" ht="12.75">
      <c r="A10" s="213" t="s">
        <v>135</v>
      </c>
      <c r="B10" s="214" t="s">
        <v>10</v>
      </c>
      <c r="C10" s="206">
        <v>2856.678</v>
      </c>
      <c r="D10" s="206">
        <v>2525.602</v>
      </c>
      <c r="E10" s="206">
        <v>2344.012</v>
      </c>
      <c r="F10" s="207">
        <v>2264.168</v>
      </c>
      <c r="G10" s="207">
        <v>1764.456</v>
      </c>
    </row>
    <row r="11" spans="1:7" ht="12.75">
      <c r="A11" s="213"/>
      <c r="B11" s="217"/>
      <c r="C11" s="218"/>
      <c r="D11" s="218"/>
      <c r="E11" s="206"/>
      <c r="F11" s="207"/>
      <c r="G11" s="207"/>
    </row>
    <row r="12" spans="1:7" ht="12.75">
      <c r="A12" s="213" t="s">
        <v>11</v>
      </c>
      <c r="B12" s="214" t="s">
        <v>156</v>
      </c>
      <c r="C12" s="206">
        <v>44650.089</v>
      </c>
      <c r="D12" s="206">
        <v>45702.62</v>
      </c>
      <c r="E12" s="206">
        <v>44311.718</v>
      </c>
      <c r="F12" s="207">
        <v>42939.208</v>
      </c>
      <c r="G12" s="207">
        <v>42180.951</v>
      </c>
    </row>
    <row r="13" spans="1:7" ht="12.75">
      <c r="A13" s="213" t="s">
        <v>136</v>
      </c>
      <c r="B13" s="214" t="s">
        <v>156</v>
      </c>
      <c r="C13" s="206">
        <v>19441.63</v>
      </c>
      <c r="D13" s="206">
        <v>19506.876</v>
      </c>
      <c r="E13" s="206">
        <v>18117.717</v>
      </c>
      <c r="F13" s="207">
        <v>16247.7</v>
      </c>
      <c r="G13" s="207">
        <v>16920.359</v>
      </c>
    </row>
    <row r="14" spans="1:7" ht="12.75">
      <c r="A14" s="213" t="s">
        <v>137</v>
      </c>
      <c r="B14" s="214" t="s">
        <v>156</v>
      </c>
      <c r="C14" s="206">
        <v>25208.459</v>
      </c>
      <c r="D14" s="206">
        <v>26195.786</v>
      </c>
      <c r="E14" s="206">
        <v>26194.052</v>
      </c>
      <c r="F14" s="207">
        <v>26691.507999999998</v>
      </c>
      <c r="G14" s="207">
        <v>25260.592</v>
      </c>
    </row>
    <row r="15" spans="1:7" ht="12.75">
      <c r="A15" s="213"/>
      <c r="B15" s="214"/>
      <c r="C15" s="206"/>
      <c r="D15" s="206"/>
      <c r="E15" s="206"/>
      <c r="F15" s="207"/>
      <c r="G15" s="207"/>
    </row>
    <row r="16" spans="1:7" ht="12.75">
      <c r="A16" s="219" t="s">
        <v>275</v>
      </c>
      <c r="B16" s="214" t="s">
        <v>156</v>
      </c>
      <c r="C16" s="206">
        <v>11565.66</v>
      </c>
      <c r="D16" s="206">
        <v>10666.051</v>
      </c>
      <c r="E16" s="206">
        <v>9591.467</v>
      </c>
      <c r="F16" s="207">
        <v>9246.692</v>
      </c>
      <c r="G16" s="207">
        <v>8258.3</v>
      </c>
    </row>
    <row r="17" spans="1:7" ht="12.75">
      <c r="A17" s="219"/>
      <c r="B17" s="214"/>
      <c r="C17" s="206"/>
      <c r="D17" s="206"/>
      <c r="E17" s="206"/>
      <c r="F17" s="207"/>
      <c r="G17" s="207"/>
    </row>
    <row r="18" spans="1:7" ht="12.75">
      <c r="A18" s="219" t="s">
        <v>138</v>
      </c>
      <c r="B18" s="214" t="s">
        <v>156</v>
      </c>
      <c r="C18" s="206">
        <v>1768.407</v>
      </c>
      <c r="D18" s="206">
        <v>2352.915</v>
      </c>
      <c r="E18" s="206">
        <v>1508.674</v>
      </c>
      <c r="F18" s="207">
        <v>2133.173</v>
      </c>
      <c r="G18" s="207">
        <v>3587.273</v>
      </c>
    </row>
    <row r="19" spans="1:7" ht="12.75">
      <c r="A19" s="213"/>
      <c r="B19" s="217"/>
      <c r="C19" s="218"/>
      <c r="D19" s="218"/>
      <c r="E19" s="206"/>
      <c r="F19" s="207"/>
      <c r="G19" s="207"/>
    </row>
    <row r="20" spans="1:7" ht="12.75">
      <c r="A20" s="213" t="s">
        <v>12</v>
      </c>
      <c r="B20" s="214" t="s">
        <v>156</v>
      </c>
      <c r="C20" s="206">
        <v>2034.107</v>
      </c>
      <c r="D20" s="206">
        <v>2498.485</v>
      </c>
      <c r="E20" s="206">
        <v>2680.586</v>
      </c>
      <c r="F20" s="207">
        <v>2633.284</v>
      </c>
      <c r="G20" s="207">
        <v>3315.6</v>
      </c>
    </row>
    <row r="21" spans="1:7" ht="12.75">
      <c r="A21" s="213"/>
      <c r="B21" s="217"/>
      <c r="C21" s="218"/>
      <c r="D21" s="218"/>
      <c r="E21" s="206"/>
      <c r="F21" s="207"/>
      <c r="G21" s="207"/>
    </row>
    <row r="22" spans="1:7" ht="12.75">
      <c r="A22" s="213" t="s">
        <v>13</v>
      </c>
      <c r="B22" s="214" t="s">
        <v>243</v>
      </c>
      <c r="C22" s="218" t="s">
        <v>142</v>
      </c>
      <c r="D22" s="218" t="s">
        <v>142</v>
      </c>
      <c r="E22" s="206">
        <v>9553.576</v>
      </c>
      <c r="F22" s="207">
        <v>8872</v>
      </c>
      <c r="G22" s="207">
        <v>11849.525</v>
      </c>
    </row>
    <row r="23" spans="1:7" ht="12.75">
      <c r="A23" s="213"/>
      <c r="B23" s="217"/>
      <c r="C23" s="218"/>
      <c r="D23" s="218"/>
      <c r="E23" s="206"/>
      <c r="F23" s="207"/>
      <c r="G23" s="207"/>
    </row>
    <row r="24" spans="1:7" ht="12.75">
      <c r="A24" s="213" t="s">
        <v>14</v>
      </c>
      <c r="B24" s="214" t="s">
        <v>244</v>
      </c>
      <c r="C24" s="218" t="s">
        <v>142</v>
      </c>
      <c r="D24" s="218" t="s">
        <v>142</v>
      </c>
      <c r="E24" s="206">
        <v>1496.4</v>
      </c>
      <c r="F24" s="207">
        <v>1262.2</v>
      </c>
      <c r="G24" s="207">
        <v>1188.894</v>
      </c>
    </row>
    <row r="25" spans="1:7" ht="12.75">
      <c r="A25" s="213"/>
      <c r="B25" s="217"/>
      <c r="C25" s="218"/>
      <c r="D25" s="218"/>
      <c r="E25" s="206"/>
      <c r="F25" s="207"/>
      <c r="G25" s="207"/>
    </row>
    <row r="26" spans="1:7" ht="13.5" thickBot="1">
      <c r="A26" s="215" t="s">
        <v>143</v>
      </c>
      <c r="B26" s="216" t="s">
        <v>245</v>
      </c>
      <c r="C26" s="220" t="s">
        <v>142</v>
      </c>
      <c r="D26" s="220" t="s">
        <v>142</v>
      </c>
      <c r="E26" s="208">
        <v>10845.417</v>
      </c>
      <c r="F26" s="209">
        <v>9069.65</v>
      </c>
      <c r="G26" s="209">
        <v>15539.209</v>
      </c>
    </row>
    <row r="27" spans="1:6" ht="12.75">
      <c r="A27" s="210" t="s">
        <v>145</v>
      </c>
      <c r="B27" s="210"/>
      <c r="C27" s="210"/>
      <c r="D27" s="210"/>
      <c r="E27" s="210"/>
      <c r="F27" s="210"/>
    </row>
    <row r="28" spans="1:6" ht="12.75">
      <c r="A28" s="210" t="s">
        <v>203</v>
      </c>
      <c r="B28" s="210"/>
      <c r="C28" s="210"/>
      <c r="D28" s="210"/>
      <c r="E28" s="210"/>
      <c r="F28" s="210"/>
    </row>
    <row r="29" spans="1:6" ht="12.75">
      <c r="A29" s="210" t="s">
        <v>246</v>
      </c>
      <c r="B29" s="210"/>
      <c r="C29" s="210"/>
      <c r="D29" s="210"/>
      <c r="E29" s="210"/>
      <c r="F29" s="210"/>
    </row>
    <row r="30" spans="1:6" ht="12.75">
      <c r="A30" s="210" t="s">
        <v>247</v>
      </c>
      <c r="B30" s="210"/>
      <c r="C30" s="210"/>
      <c r="D30" s="210"/>
      <c r="E30" s="210"/>
      <c r="F30" s="210"/>
    </row>
    <row r="31" spans="1:6" ht="12.75">
      <c r="A31" s="210" t="s">
        <v>242</v>
      </c>
      <c r="B31" s="210"/>
      <c r="C31" s="210"/>
      <c r="D31" s="210"/>
      <c r="E31" s="210"/>
      <c r="F31" s="210"/>
    </row>
    <row r="41" ht="12.75">
      <c r="E41" s="374"/>
    </row>
  </sheetData>
  <mergeCells count="5">
    <mergeCell ref="C6:F6"/>
    <mergeCell ref="A4:F4"/>
    <mergeCell ref="C5:F5"/>
    <mergeCell ref="A1:G1"/>
    <mergeCell ref="A3:G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8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8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275" customWidth="1"/>
    <col min="2" max="2" width="13.7109375" style="275" customWidth="1"/>
    <col min="3" max="3" width="12.7109375" style="275" customWidth="1"/>
    <col min="4" max="4" width="15.421875" style="275" customWidth="1"/>
    <col min="5" max="5" width="14.140625" style="275" customWidth="1"/>
    <col min="6" max="9" width="12.7109375" style="275" customWidth="1"/>
    <col min="10" max="16384" width="19.140625" style="11" customWidth="1"/>
  </cols>
  <sheetData>
    <row r="1" spans="1:17" ht="18">
      <c r="A1" s="457" t="s">
        <v>139</v>
      </c>
      <c r="B1" s="457"/>
      <c r="C1" s="457"/>
      <c r="D1" s="457"/>
      <c r="E1" s="457"/>
      <c r="F1" s="457"/>
      <c r="G1" s="457"/>
      <c r="H1" s="457"/>
      <c r="I1" s="457"/>
      <c r="K1" s="12"/>
      <c r="L1" s="12"/>
      <c r="M1" s="12"/>
      <c r="N1" s="12"/>
      <c r="O1" s="12"/>
      <c r="P1" s="12"/>
      <c r="Q1" s="12"/>
    </row>
    <row r="3" spans="1:9" ht="15">
      <c r="A3" s="458" t="s">
        <v>216</v>
      </c>
      <c r="B3" s="458"/>
      <c r="C3" s="458"/>
      <c r="D3" s="458"/>
      <c r="E3" s="458"/>
      <c r="F3" s="458"/>
      <c r="G3" s="458"/>
      <c r="H3" s="458"/>
      <c r="I3" s="458"/>
    </row>
    <row r="4" spans="3:9" ht="12.75">
      <c r="C4" s="276"/>
      <c r="D4" s="276"/>
      <c r="E4" s="276"/>
      <c r="F4" s="276"/>
      <c r="G4" s="276"/>
      <c r="H4" s="276"/>
      <c r="I4" s="276"/>
    </row>
    <row r="5" spans="1:9" ht="12.75">
      <c r="A5" s="277"/>
      <c r="B5" s="461" t="s">
        <v>154</v>
      </c>
      <c r="C5" s="462"/>
      <c r="D5" s="465" t="s">
        <v>19</v>
      </c>
      <c r="E5" s="466"/>
      <c r="F5" s="466"/>
      <c r="G5" s="467"/>
      <c r="H5" s="463" t="s">
        <v>66</v>
      </c>
      <c r="I5" s="464"/>
    </row>
    <row r="6" spans="1:9" ht="12.75">
      <c r="A6" s="278" t="s">
        <v>22</v>
      </c>
      <c r="B6" s="279"/>
      <c r="C6" s="280"/>
      <c r="D6" s="459" t="s">
        <v>67</v>
      </c>
      <c r="E6" s="460"/>
      <c r="F6" s="459" t="s">
        <v>25</v>
      </c>
      <c r="G6" s="460"/>
      <c r="H6" s="281"/>
      <c r="I6" s="282"/>
    </row>
    <row r="7" spans="1:9" ht="13.5" thickBot="1">
      <c r="A7" s="283"/>
      <c r="B7" s="284" t="s">
        <v>58</v>
      </c>
      <c r="C7" s="284" t="s">
        <v>153</v>
      </c>
      <c r="D7" s="285" t="s">
        <v>58</v>
      </c>
      <c r="E7" s="285" t="s">
        <v>153</v>
      </c>
      <c r="F7" s="285" t="s">
        <v>58</v>
      </c>
      <c r="G7" s="285" t="s">
        <v>153</v>
      </c>
      <c r="H7" s="285" t="s">
        <v>58</v>
      </c>
      <c r="I7" s="286" t="s">
        <v>153</v>
      </c>
    </row>
    <row r="8" spans="1:10" ht="12.75">
      <c r="A8" s="287" t="s">
        <v>26</v>
      </c>
      <c r="B8" s="358">
        <f>D8+F8+H8</f>
        <v>79630</v>
      </c>
      <c r="C8" s="358">
        <f>E8+G8+I8</f>
        <v>1084912</v>
      </c>
      <c r="D8" s="358">
        <v>79110</v>
      </c>
      <c r="E8" s="358">
        <v>1076493</v>
      </c>
      <c r="F8" s="358">
        <v>134</v>
      </c>
      <c r="G8" s="358">
        <v>1536</v>
      </c>
      <c r="H8" s="359">
        <v>386</v>
      </c>
      <c r="I8" s="360">
        <v>6883</v>
      </c>
      <c r="J8" s="363"/>
    </row>
    <row r="9" spans="1:10" ht="12.75">
      <c r="A9" s="287" t="s">
        <v>27</v>
      </c>
      <c r="B9" s="358">
        <f aca="true" t="shared" si="0" ref="B9:B24">D9+F9+H9</f>
        <v>28600</v>
      </c>
      <c r="C9" s="358">
        <f aca="true" t="shared" si="1" ref="C9:C24">E9+G9+I9</f>
        <v>462660</v>
      </c>
      <c r="D9" s="358">
        <v>28024</v>
      </c>
      <c r="E9" s="358">
        <v>456392</v>
      </c>
      <c r="F9" s="358">
        <v>31</v>
      </c>
      <c r="G9" s="358">
        <v>195</v>
      </c>
      <c r="H9" s="358">
        <v>545</v>
      </c>
      <c r="I9" s="361">
        <v>6073</v>
      </c>
      <c r="J9" s="363"/>
    </row>
    <row r="10" spans="1:10" ht="12.75">
      <c r="A10" s="287" t="s">
        <v>28</v>
      </c>
      <c r="B10" s="358">
        <f t="shared" si="0"/>
        <v>12180</v>
      </c>
      <c r="C10" s="358">
        <f t="shared" si="1"/>
        <v>345249</v>
      </c>
      <c r="D10" s="358">
        <v>11948</v>
      </c>
      <c r="E10" s="358">
        <v>340887</v>
      </c>
      <c r="F10" s="358">
        <v>7</v>
      </c>
      <c r="G10" s="358">
        <v>106</v>
      </c>
      <c r="H10" s="358">
        <v>225</v>
      </c>
      <c r="I10" s="361">
        <v>4256</v>
      </c>
      <c r="J10" s="363"/>
    </row>
    <row r="11" spans="1:10" ht="12.75">
      <c r="A11" s="287" t="s">
        <v>29</v>
      </c>
      <c r="B11" s="358">
        <f t="shared" si="0"/>
        <v>10696</v>
      </c>
      <c r="C11" s="358">
        <f t="shared" si="1"/>
        <v>180011</v>
      </c>
      <c r="D11" s="358">
        <v>10521</v>
      </c>
      <c r="E11" s="358">
        <v>177315</v>
      </c>
      <c r="F11" s="358">
        <v>23</v>
      </c>
      <c r="G11" s="358">
        <v>940</v>
      </c>
      <c r="H11" s="358">
        <v>152</v>
      </c>
      <c r="I11" s="361">
        <v>1756</v>
      </c>
      <c r="J11" s="363"/>
    </row>
    <row r="12" spans="1:10" ht="12.75">
      <c r="A12" s="287" t="s">
        <v>30</v>
      </c>
      <c r="B12" s="358">
        <f t="shared" si="0"/>
        <v>2703</v>
      </c>
      <c r="C12" s="358">
        <f t="shared" si="1"/>
        <v>116813</v>
      </c>
      <c r="D12" s="358">
        <v>2625</v>
      </c>
      <c r="E12" s="358">
        <v>107710</v>
      </c>
      <c r="F12" s="358">
        <v>22</v>
      </c>
      <c r="G12" s="358">
        <v>3088</v>
      </c>
      <c r="H12" s="358">
        <v>56</v>
      </c>
      <c r="I12" s="361">
        <v>6015</v>
      </c>
      <c r="J12" s="363"/>
    </row>
    <row r="13" spans="1:10" ht="12.75">
      <c r="A13" s="287" t="s">
        <v>31</v>
      </c>
      <c r="B13" s="358">
        <f t="shared" si="0"/>
        <v>508</v>
      </c>
      <c r="C13" s="358">
        <f t="shared" si="1"/>
        <v>50432</v>
      </c>
      <c r="D13" s="358">
        <v>396</v>
      </c>
      <c r="E13" s="358">
        <v>32122</v>
      </c>
      <c r="F13" s="358">
        <v>18</v>
      </c>
      <c r="G13" s="358">
        <v>1880</v>
      </c>
      <c r="H13" s="358">
        <v>94</v>
      </c>
      <c r="I13" s="361">
        <v>16430</v>
      </c>
      <c r="J13" s="363"/>
    </row>
    <row r="14" spans="1:10" ht="12.75">
      <c r="A14" s="287" t="s">
        <v>32</v>
      </c>
      <c r="B14" s="358">
        <f t="shared" si="0"/>
        <v>2926</v>
      </c>
      <c r="C14" s="358">
        <f t="shared" si="1"/>
        <v>334586</v>
      </c>
      <c r="D14" s="358">
        <v>2376</v>
      </c>
      <c r="E14" s="358">
        <v>257657</v>
      </c>
      <c r="F14" s="358">
        <v>208</v>
      </c>
      <c r="G14" s="358">
        <v>37694</v>
      </c>
      <c r="H14" s="358">
        <v>342</v>
      </c>
      <c r="I14" s="361">
        <v>39235</v>
      </c>
      <c r="J14" s="363"/>
    </row>
    <row r="15" spans="1:10" ht="12.75">
      <c r="A15" s="287" t="s">
        <v>33</v>
      </c>
      <c r="B15" s="358">
        <f t="shared" si="0"/>
        <v>5941</v>
      </c>
      <c r="C15" s="358">
        <f t="shared" si="1"/>
        <v>690903</v>
      </c>
      <c r="D15" s="358">
        <v>5619</v>
      </c>
      <c r="E15" s="358">
        <v>615080</v>
      </c>
      <c r="F15" s="358">
        <v>167</v>
      </c>
      <c r="G15" s="358">
        <v>41005</v>
      </c>
      <c r="H15" s="358">
        <v>155</v>
      </c>
      <c r="I15" s="361">
        <v>34818</v>
      </c>
      <c r="J15" s="363"/>
    </row>
    <row r="16" spans="1:10" ht="12.75">
      <c r="A16" s="287" t="s">
        <v>34</v>
      </c>
      <c r="B16" s="358">
        <f t="shared" si="0"/>
        <v>893</v>
      </c>
      <c r="C16" s="358">
        <f t="shared" si="1"/>
        <v>46934</v>
      </c>
      <c r="D16" s="358">
        <v>881</v>
      </c>
      <c r="E16" s="358">
        <v>45649</v>
      </c>
      <c r="F16" s="358">
        <v>8</v>
      </c>
      <c r="G16" s="358">
        <v>371</v>
      </c>
      <c r="H16" s="359">
        <v>4</v>
      </c>
      <c r="I16" s="362">
        <v>914</v>
      </c>
      <c r="J16" s="363"/>
    </row>
    <row r="17" spans="1:10" ht="12.75">
      <c r="A17" s="287" t="s">
        <v>35</v>
      </c>
      <c r="B17" s="358">
        <f t="shared" si="0"/>
        <v>26285</v>
      </c>
      <c r="C17" s="358">
        <f t="shared" si="1"/>
        <v>1287254</v>
      </c>
      <c r="D17" s="358">
        <v>24568</v>
      </c>
      <c r="E17" s="358">
        <v>1182796</v>
      </c>
      <c r="F17" s="358">
        <v>199</v>
      </c>
      <c r="G17" s="358">
        <v>19776</v>
      </c>
      <c r="H17" s="358">
        <v>1518</v>
      </c>
      <c r="I17" s="361">
        <v>84682</v>
      </c>
      <c r="J17" s="363"/>
    </row>
    <row r="18" spans="1:10" ht="12.75">
      <c r="A18" s="287" t="s">
        <v>36</v>
      </c>
      <c r="B18" s="358">
        <f t="shared" si="0"/>
        <v>1675</v>
      </c>
      <c r="C18" s="358">
        <f t="shared" si="1"/>
        <v>112641</v>
      </c>
      <c r="D18" s="358">
        <v>1295</v>
      </c>
      <c r="E18" s="358">
        <v>91216</v>
      </c>
      <c r="F18" s="358">
        <v>39</v>
      </c>
      <c r="G18" s="358">
        <v>4167</v>
      </c>
      <c r="H18" s="358">
        <v>341</v>
      </c>
      <c r="I18" s="361">
        <v>17258</v>
      </c>
      <c r="J18" s="363"/>
    </row>
    <row r="19" spans="1:10" ht="12.75">
      <c r="A19" s="287" t="s">
        <v>202</v>
      </c>
      <c r="B19" s="358">
        <f t="shared" si="0"/>
        <v>3452</v>
      </c>
      <c r="C19" s="358">
        <f t="shared" si="1"/>
        <v>348189</v>
      </c>
      <c r="D19" s="358">
        <v>2940</v>
      </c>
      <c r="E19" s="358">
        <v>295896</v>
      </c>
      <c r="F19" s="358">
        <v>124</v>
      </c>
      <c r="G19" s="358">
        <v>15456</v>
      </c>
      <c r="H19" s="358">
        <v>388</v>
      </c>
      <c r="I19" s="361">
        <v>36837</v>
      </c>
      <c r="J19" s="363"/>
    </row>
    <row r="20" spans="1:10" ht="12.75">
      <c r="A20" s="287" t="s">
        <v>38</v>
      </c>
      <c r="B20" s="358">
        <f t="shared" si="0"/>
        <v>819</v>
      </c>
      <c r="C20" s="358">
        <f t="shared" si="1"/>
        <v>60492</v>
      </c>
      <c r="D20" s="358">
        <v>618</v>
      </c>
      <c r="E20" s="358">
        <v>35573</v>
      </c>
      <c r="F20" s="358">
        <v>81</v>
      </c>
      <c r="G20" s="358">
        <v>9310</v>
      </c>
      <c r="H20" s="358">
        <v>120</v>
      </c>
      <c r="I20" s="361">
        <v>15609</v>
      </c>
      <c r="J20" s="363"/>
    </row>
    <row r="21" spans="1:10" ht="12.75">
      <c r="A21" s="287" t="s">
        <v>39</v>
      </c>
      <c r="B21" s="358">
        <f t="shared" si="0"/>
        <v>363</v>
      </c>
      <c r="C21" s="358">
        <f t="shared" si="1"/>
        <v>58744</v>
      </c>
      <c r="D21" s="358">
        <v>281</v>
      </c>
      <c r="E21" s="358">
        <v>43514</v>
      </c>
      <c r="F21" s="358">
        <v>31</v>
      </c>
      <c r="G21" s="358">
        <v>6428</v>
      </c>
      <c r="H21" s="359">
        <v>51</v>
      </c>
      <c r="I21" s="362">
        <v>8802</v>
      </c>
      <c r="J21" s="363"/>
    </row>
    <row r="22" spans="1:10" ht="12.75">
      <c r="A22" s="287" t="s">
        <v>40</v>
      </c>
      <c r="B22" s="358">
        <f t="shared" si="0"/>
        <v>9924</v>
      </c>
      <c r="C22" s="358">
        <f t="shared" si="1"/>
        <v>594475</v>
      </c>
      <c r="D22" s="358">
        <v>9279</v>
      </c>
      <c r="E22" s="358">
        <v>571924</v>
      </c>
      <c r="F22" s="358">
        <v>61</v>
      </c>
      <c r="G22" s="358">
        <v>4370</v>
      </c>
      <c r="H22" s="358">
        <v>584</v>
      </c>
      <c r="I22" s="361">
        <v>18181</v>
      </c>
      <c r="J22" s="363"/>
    </row>
    <row r="23" spans="1:10" ht="12.75">
      <c r="A23" s="287" t="s">
        <v>41</v>
      </c>
      <c r="B23" s="358">
        <f t="shared" si="0"/>
        <v>7942</v>
      </c>
      <c r="C23" s="358">
        <f t="shared" si="1"/>
        <v>564768</v>
      </c>
      <c r="D23" s="306">
        <v>6786</v>
      </c>
      <c r="E23" s="306">
        <v>504156</v>
      </c>
      <c r="F23" s="357">
        <v>279</v>
      </c>
      <c r="G23" s="306">
        <v>20982</v>
      </c>
      <c r="H23" s="292">
        <v>877</v>
      </c>
      <c r="I23" s="361">
        <v>39630</v>
      </c>
      <c r="J23" s="363"/>
    </row>
    <row r="24" spans="1:10" ht="12.75">
      <c r="A24" s="287" t="s">
        <v>42</v>
      </c>
      <c r="B24" s="358">
        <f t="shared" si="0"/>
        <v>2098</v>
      </c>
      <c r="C24" s="358">
        <f t="shared" si="1"/>
        <v>21731</v>
      </c>
      <c r="D24" s="358">
        <v>1560</v>
      </c>
      <c r="E24" s="358">
        <v>14755</v>
      </c>
      <c r="F24" s="358">
        <v>105</v>
      </c>
      <c r="G24" s="358">
        <v>2433</v>
      </c>
      <c r="H24" s="358">
        <v>433</v>
      </c>
      <c r="I24" s="361">
        <v>4543</v>
      </c>
      <c r="J24" s="363"/>
    </row>
    <row r="25" spans="1:10" s="20" customFormat="1" ht="12.75">
      <c r="A25" s="294" t="s">
        <v>227</v>
      </c>
      <c r="B25" s="358">
        <v>2</v>
      </c>
      <c r="C25" s="358">
        <v>24</v>
      </c>
      <c r="D25" s="295">
        <v>2</v>
      </c>
      <c r="E25" s="295">
        <v>24</v>
      </c>
      <c r="F25" s="359" t="s">
        <v>142</v>
      </c>
      <c r="G25" s="359" t="s">
        <v>142</v>
      </c>
      <c r="H25" s="359" t="s">
        <v>142</v>
      </c>
      <c r="I25" s="297" t="s">
        <v>142</v>
      </c>
      <c r="J25" s="363"/>
    </row>
    <row r="26" spans="1:10" s="20" customFormat="1" ht="12.75">
      <c r="A26" s="294" t="s">
        <v>228</v>
      </c>
      <c r="B26" s="358">
        <v>3</v>
      </c>
      <c r="C26" s="358">
        <v>9</v>
      </c>
      <c r="D26" s="295">
        <v>3</v>
      </c>
      <c r="E26" s="295">
        <v>9</v>
      </c>
      <c r="F26" s="359" t="s">
        <v>142</v>
      </c>
      <c r="G26" s="359" t="s">
        <v>142</v>
      </c>
      <c r="H26" s="359" t="s">
        <v>142</v>
      </c>
      <c r="I26" s="297" t="s">
        <v>142</v>
      </c>
      <c r="J26" s="363"/>
    </row>
    <row r="27" spans="1:9" ht="12.75">
      <c r="A27" s="287"/>
      <c r="B27" s="299"/>
      <c r="C27" s="299"/>
      <c r="D27" s="299"/>
      <c r="E27" s="299"/>
      <c r="F27" s="299"/>
      <c r="G27" s="299"/>
      <c r="H27" s="299"/>
      <c r="I27" s="300"/>
    </row>
    <row r="28" spans="1:9" ht="13.5" thickBot="1">
      <c r="A28" s="301" t="s">
        <v>200</v>
      </c>
      <c r="B28" s="302">
        <f aca="true" t="shared" si="2" ref="B28:I28">SUM(B8:B27)</f>
        <v>196640</v>
      </c>
      <c r="C28" s="302">
        <f t="shared" si="2"/>
        <v>6360827</v>
      </c>
      <c r="D28" s="302">
        <f>SUM(D8:D27)</f>
        <v>188832</v>
      </c>
      <c r="E28" s="302">
        <f>SUM(E8:E27)</f>
        <v>5849168</v>
      </c>
      <c r="F28" s="302">
        <f t="shared" si="2"/>
        <v>1537</v>
      </c>
      <c r="G28" s="302">
        <f t="shared" si="2"/>
        <v>169737</v>
      </c>
      <c r="H28" s="302">
        <f t="shared" si="2"/>
        <v>6271</v>
      </c>
      <c r="I28" s="303">
        <f t="shared" si="2"/>
        <v>341922</v>
      </c>
    </row>
    <row r="29" ht="12.75">
      <c r="A29" s="304" t="s">
        <v>230</v>
      </c>
    </row>
    <row r="30" spans="1:5" ht="12.75">
      <c r="A30" s="305" t="s">
        <v>268</v>
      </c>
      <c r="B30" s="305"/>
      <c r="E30" s="276"/>
    </row>
    <row r="31" ht="12.75">
      <c r="E31" s="276"/>
    </row>
    <row r="32" spans="2:5" ht="12.75">
      <c r="B32" s="273"/>
      <c r="C32" s="455"/>
      <c r="D32" s="456"/>
      <c r="E32" s="276"/>
    </row>
    <row r="33" spans="2:4" ht="12.75">
      <c r="B33" s="272"/>
      <c r="C33" s="364"/>
      <c r="D33" s="364"/>
    </row>
    <row r="34" spans="2:8" ht="12.75">
      <c r="B34" s="272"/>
      <c r="C34" s="229"/>
      <c r="D34" s="229"/>
      <c r="E34" s="293"/>
      <c r="F34" s="292"/>
      <c r="G34" s="293"/>
      <c r="H34" s="292"/>
    </row>
    <row r="35" spans="2:8" ht="12.75">
      <c r="B35" s="272"/>
      <c r="C35" s="229"/>
      <c r="D35" s="229"/>
      <c r="E35" s="292"/>
      <c r="F35" s="292"/>
      <c r="G35" s="292"/>
      <c r="H35" s="292"/>
    </row>
    <row r="36" spans="2:4" ht="12.75">
      <c r="B36" s="272"/>
      <c r="C36" s="229"/>
      <c r="D36" s="229"/>
    </row>
    <row r="37" spans="2:4" ht="12.75">
      <c r="B37" s="272"/>
      <c r="C37" s="229"/>
      <c r="D37" s="229"/>
    </row>
    <row r="38" spans="2:4" ht="12.75">
      <c r="B38" s="272"/>
      <c r="C38" s="229"/>
      <c r="D38" s="229"/>
    </row>
  </sheetData>
  <mergeCells count="8">
    <mergeCell ref="C32:D32"/>
    <mergeCell ref="A1:I1"/>
    <mergeCell ref="A3:I3"/>
    <mergeCell ref="D6:E6"/>
    <mergeCell ref="F6:G6"/>
    <mergeCell ref="B5:C5"/>
    <mergeCell ref="H5:I5"/>
    <mergeCell ref="D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1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275" customWidth="1"/>
    <col min="2" max="2" width="13.7109375" style="275" customWidth="1"/>
    <col min="3" max="3" width="12.7109375" style="275" customWidth="1"/>
    <col min="4" max="4" width="15.421875" style="275" customWidth="1"/>
    <col min="5" max="5" width="14.140625" style="275" customWidth="1"/>
    <col min="6" max="9" width="12.7109375" style="275" customWidth="1"/>
    <col min="10" max="16384" width="19.140625" style="11" customWidth="1"/>
  </cols>
  <sheetData>
    <row r="1" spans="1:17" ht="18">
      <c r="A1" s="457" t="s">
        <v>139</v>
      </c>
      <c r="B1" s="457"/>
      <c r="C1" s="457"/>
      <c r="D1" s="457"/>
      <c r="E1" s="457"/>
      <c r="F1" s="457"/>
      <c r="G1" s="457"/>
      <c r="H1" s="457"/>
      <c r="I1" s="457"/>
      <c r="K1" s="12"/>
      <c r="L1" s="12"/>
      <c r="M1" s="12"/>
      <c r="N1" s="12"/>
      <c r="O1" s="12"/>
      <c r="P1" s="12"/>
      <c r="Q1" s="12"/>
    </row>
    <row r="2" spans="3:17" ht="12.75">
      <c r="C2" s="276"/>
      <c r="D2" s="276"/>
      <c r="E2" s="276"/>
      <c r="F2" s="276"/>
      <c r="G2" s="276"/>
      <c r="H2" s="276"/>
      <c r="I2" s="276"/>
      <c r="K2" s="12"/>
      <c r="L2" s="12"/>
      <c r="M2" s="12"/>
      <c r="N2" s="12"/>
      <c r="O2" s="12"/>
      <c r="P2" s="12"/>
      <c r="Q2" s="12"/>
    </row>
    <row r="3" spans="1:17" ht="15">
      <c r="A3" s="458" t="s">
        <v>217</v>
      </c>
      <c r="B3" s="458"/>
      <c r="C3" s="458"/>
      <c r="D3" s="458"/>
      <c r="E3" s="458"/>
      <c r="F3" s="458"/>
      <c r="G3" s="458"/>
      <c r="H3" s="458"/>
      <c r="I3" s="458"/>
      <c r="K3" s="12"/>
      <c r="L3" s="12"/>
      <c r="M3" s="12"/>
      <c r="N3" s="12"/>
      <c r="O3" s="12"/>
      <c r="P3" s="12"/>
      <c r="Q3" s="12"/>
    </row>
    <row r="4" spans="3:17" ht="12.75">
      <c r="C4" s="276"/>
      <c r="D4" s="276"/>
      <c r="E4" s="276"/>
      <c r="F4" s="276"/>
      <c r="G4" s="276"/>
      <c r="H4" s="276"/>
      <c r="I4" s="276"/>
      <c r="K4" s="12"/>
      <c r="L4" s="12"/>
      <c r="M4" s="12"/>
      <c r="N4" s="12"/>
      <c r="O4" s="12"/>
      <c r="P4" s="12"/>
      <c r="Q4" s="12"/>
    </row>
    <row r="5" spans="1:17" ht="12.75">
      <c r="A5" s="277"/>
      <c r="B5" s="461" t="s">
        <v>154</v>
      </c>
      <c r="C5" s="462"/>
      <c r="D5" s="465" t="s">
        <v>19</v>
      </c>
      <c r="E5" s="466"/>
      <c r="F5" s="466"/>
      <c r="G5" s="467" t="s">
        <v>66</v>
      </c>
      <c r="H5" s="463" t="s">
        <v>66</v>
      </c>
      <c r="I5" s="464"/>
      <c r="K5" s="12"/>
      <c r="L5" s="12"/>
      <c r="M5" s="12"/>
      <c r="N5" s="12"/>
      <c r="O5" s="12"/>
      <c r="P5" s="12"/>
      <c r="Q5" s="12"/>
    </row>
    <row r="6" spans="1:17" ht="12.75">
      <c r="A6" s="278" t="s">
        <v>22</v>
      </c>
      <c r="B6" s="279"/>
      <c r="C6" s="280"/>
      <c r="D6" s="459" t="s">
        <v>67</v>
      </c>
      <c r="E6" s="460"/>
      <c r="F6" s="461" t="s">
        <v>25</v>
      </c>
      <c r="G6" s="462"/>
      <c r="H6" s="281"/>
      <c r="I6" s="282"/>
      <c r="K6" s="12"/>
      <c r="L6" s="12"/>
      <c r="M6" s="12"/>
      <c r="N6" s="12"/>
      <c r="O6" s="12"/>
      <c r="P6" s="12"/>
      <c r="Q6" s="12"/>
    </row>
    <row r="7" spans="1:17" ht="13.5" thickBot="1">
      <c r="A7" s="283"/>
      <c r="B7" s="284" t="s">
        <v>58</v>
      </c>
      <c r="C7" s="284" t="s">
        <v>153</v>
      </c>
      <c r="D7" s="285" t="s">
        <v>58</v>
      </c>
      <c r="E7" s="286" t="s">
        <v>153</v>
      </c>
      <c r="F7" s="285" t="s">
        <v>58</v>
      </c>
      <c r="G7" s="286" t="s">
        <v>153</v>
      </c>
      <c r="H7" s="284" t="s">
        <v>58</v>
      </c>
      <c r="I7" s="286" t="s">
        <v>153</v>
      </c>
      <c r="K7" s="12"/>
      <c r="L7" s="12"/>
      <c r="M7" s="12"/>
      <c r="N7" s="12"/>
      <c r="O7" s="12"/>
      <c r="P7" s="12"/>
      <c r="Q7" s="12"/>
    </row>
    <row r="8" spans="1:17" ht="12.75">
      <c r="A8" s="287" t="s">
        <v>26</v>
      </c>
      <c r="B8" s="288">
        <f>D8+F8+H8</f>
        <v>37098</v>
      </c>
      <c r="C8" s="288">
        <f>E8+G8+I8</f>
        <v>335348</v>
      </c>
      <c r="D8" s="288">
        <v>36743</v>
      </c>
      <c r="E8" s="288">
        <v>331315</v>
      </c>
      <c r="F8" s="288">
        <v>179</v>
      </c>
      <c r="G8" s="288">
        <v>1675</v>
      </c>
      <c r="H8" s="289">
        <v>176</v>
      </c>
      <c r="I8" s="290">
        <v>2358</v>
      </c>
      <c r="K8" s="12"/>
      <c r="L8" s="12"/>
      <c r="M8" s="12"/>
      <c r="N8" s="12"/>
      <c r="O8" s="12"/>
      <c r="P8" s="12"/>
      <c r="Q8" s="12"/>
    </row>
    <row r="9" spans="1:17" ht="12.75">
      <c r="A9" s="287" t="s">
        <v>27</v>
      </c>
      <c r="B9" s="288">
        <f aca="true" t="shared" si="0" ref="B9:C24">D9+F9+H9</f>
        <v>5074</v>
      </c>
      <c r="C9" s="288">
        <f t="shared" si="0"/>
        <v>74687</v>
      </c>
      <c r="D9" s="288">
        <v>4954</v>
      </c>
      <c r="E9" s="288">
        <v>72922</v>
      </c>
      <c r="F9" s="288">
        <v>7</v>
      </c>
      <c r="G9" s="288">
        <v>32</v>
      </c>
      <c r="H9" s="289">
        <v>113</v>
      </c>
      <c r="I9" s="291">
        <v>1733</v>
      </c>
      <c r="K9" s="12"/>
      <c r="L9" s="12"/>
      <c r="M9" s="12"/>
      <c r="N9" s="12"/>
      <c r="O9" s="12"/>
      <c r="P9" s="12"/>
      <c r="Q9" s="12"/>
    </row>
    <row r="10" spans="1:17" ht="12.75">
      <c r="A10" s="287" t="s">
        <v>28</v>
      </c>
      <c r="B10" s="288">
        <f t="shared" si="0"/>
        <v>2119</v>
      </c>
      <c r="C10" s="288">
        <f t="shared" si="0"/>
        <v>75135</v>
      </c>
      <c r="D10" s="288">
        <v>2079</v>
      </c>
      <c r="E10" s="288">
        <v>72354</v>
      </c>
      <c r="F10" s="288">
        <v>2</v>
      </c>
      <c r="G10" s="288">
        <v>27</v>
      </c>
      <c r="H10" s="289">
        <v>38</v>
      </c>
      <c r="I10" s="291">
        <v>2754</v>
      </c>
      <c r="K10" s="12"/>
      <c r="L10" s="12"/>
      <c r="M10" s="12"/>
      <c r="N10" s="12"/>
      <c r="O10" s="12"/>
      <c r="P10" s="12"/>
      <c r="Q10" s="12"/>
    </row>
    <row r="11" spans="1:17" ht="12.75">
      <c r="A11" s="287" t="s">
        <v>29</v>
      </c>
      <c r="B11" s="288">
        <f t="shared" si="0"/>
        <v>5217</v>
      </c>
      <c r="C11" s="288">
        <f t="shared" si="0"/>
        <v>316994</v>
      </c>
      <c r="D11" s="288">
        <v>5065</v>
      </c>
      <c r="E11" s="288">
        <v>304932</v>
      </c>
      <c r="F11" s="288">
        <v>31</v>
      </c>
      <c r="G11" s="288">
        <v>975</v>
      </c>
      <c r="H11" s="289">
        <v>121</v>
      </c>
      <c r="I11" s="291">
        <v>11087</v>
      </c>
      <c r="K11" s="12"/>
      <c r="L11" s="12"/>
      <c r="M11" s="12"/>
      <c r="N11" s="12"/>
      <c r="O11" s="12"/>
      <c r="P11" s="12"/>
      <c r="Q11" s="12"/>
    </row>
    <row r="12" spans="1:17" ht="12.75">
      <c r="A12" s="287" t="s">
        <v>30</v>
      </c>
      <c r="B12" s="288">
        <f t="shared" si="0"/>
        <v>2513</v>
      </c>
      <c r="C12" s="288">
        <f t="shared" si="0"/>
        <v>741572</v>
      </c>
      <c r="D12" s="288">
        <v>2305</v>
      </c>
      <c r="E12" s="288">
        <v>626816</v>
      </c>
      <c r="F12" s="288">
        <v>32</v>
      </c>
      <c r="G12" s="288">
        <v>25225</v>
      </c>
      <c r="H12" s="289">
        <v>176</v>
      </c>
      <c r="I12" s="291">
        <v>89531</v>
      </c>
      <c r="K12" s="12"/>
      <c r="L12" s="12"/>
      <c r="M12" s="12"/>
      <c r="N12" s="12"/>
      <c r="O12" s="12"/>
      <c r="P12" s="12"/>
      <c r="Q12" s="12"/>
    </row>
    <row r="13" spans="1:17" ht="12.75">
      <c r="A13" s="287" t="s">
        <v>31</v>
      </c>
      <c r="B13" s="288">
        <f t="shared" si="0"/>
        <v>570</v>
      </c>
      <c r="C13" s="288">
        <f t="shared" si="0"/>
        <v>215864</v>
      </c>
      <c r="D13" s="288">
        <v>430</v>
      </c>
      <c r="E13" s="288">
        <v>163244</v>
      </c>
      <c r="F13" s="299">
        <v>22</v>
      </c>
      <c r="G13" s="288">
        <v>9123</v>
      </c>
      <c r="H13" s="289">
        <v>118</v>
      </c>
      <c r="I13" s="291">
        <v>43497</v>
      </c>
      <c r="K13" s="12"/>
      <c r="L13" s="12"/>
      <c r="M13" s="12"/>
      <c r="N13" s="12"/>
      <c r="O13" s="12"/>
      <c r="P13" s="12"/>
      <c r="Q13" s="12"/>
    </row>
    <row r="14" spans="1:17" ht="12.75">
      <c r="A14" s="287" t="s">
        <v>32</v>
      </c>
      <c r="B14" s="288">
        <f t="shared" si="0"/>
        <v>6785</v>
      </c>
      <c r="C14" s="288">
        <f t="shared" si="0"/>
        <v>2862149</v>
      </c>
      <c r="D14" s="288">
        <v>5815</v>
      </c>
      <c r="E14" s="288">
        <v>2351824</v>
      </c>
      <c r="F14" s="288">
        <v>224</v>
      </c>
      <c r="G14" s="288">
        <v>164024</v>
      </c>
      <c r="H14" s="289">
        <v>746</v>
      </c>
      <c r="I14" s="291">
        <v>346301</v>
      </c>
      <c r="K14" s="12"/>
      <c r="M14" s="12"/>
      <c r="O14" s="12"/>
      <c r="Q14" s="12"/>
    </row>
    <row r="15" spans="1:17" ht="12.75">
      <c r="A15" s="287" t="s">
        <v>33</v>
      </c>
      <c r="B15" s="288">
        <f t="shared" si="0"/>
        <v>2846</v>
      </c>
      <c r="C15" s="288">
        <f t="shared" si="0"/>
        <v>870817</v>
      </c>
      <c r="D15" s="288">
        <v>2554</v>
      </c>
      <c r="E15" s="288">
        <v>772953</v>
      </c>
      <c r="F15" s="288">
        <v>87</v>
      </c>
      <c r="G15" s="288">
        <v>36805</v>
      </c>
      <c r="H15" s="289">
        <v>205</v>
      </c>
      <c r="I15" s="291">
        <v>61059</v>
      </c>
      <c r="K15" s="12"/>
      <c r="L15" s="12"/>
      <c r="M15" s="12"/>
      <c r="N15" s="12"/>
      <c r="O15" s="12"/>
      <c r="P15" s="12"/>
      <c r="Q15" s="12"/>
    </row>
    <row r="16" spans="1:16" ht="12.75">
      <c r="A16" s="287" t="s">
        <v>34</v>
      </c>
      <c r="B16" s="288">
        <f t="shared" si="0"/>
        <v>4666</v>
      </c>
      <c r="C16" s="288">
        <f t="shared" si="0"/>
        <v>334775</v>
      </c>
      <c r="D16" s="288">
        <v>4639</v>
      </c>
      <c r="E16" s="288">
        <v>332923</v>
      </c>
      <c r="F16" s="288">
        <v>18</v>
      </c>
      <c r="G16" s="288">
        <v>1069</v>
      </c>
      <c r="H16" s="289">
        <v>9</v>
      </c>
      <c r="I16" s="291">
        <v>783</v>
      </c>
      <c r="P16" s="12"/>
    </row>
    <row r="17" spans="1:9" ht="12.75">
      <c r="A17" s="287" t="s">
        <v>35</v>
      </c>
      <c r="B17" s="288">
        <f t="shared" si="0"/>
        <v>14946</v>
      </c>
      <c r="C17" s="288">
        <f t="shared" si="0"/>
        <v>4645566</v>
      </c>
      <c r="D17" s="288">
        <v>12579</v>
      </c>
      <c r="E17" s="288">
        <v>3845037</v>
      </c>
      <c r="F17" s="288">
        <v>330</v>
      </c>
      <c r="G17" s="288">
        <v>134672</v>
      </c>
      <c r="H17" s="289">
        <v>2037</v>
      </c>
      <c r="I17" s="291">
        <v>665857</v>
      </c>
    </row>
    <row r="18" spans="1:9" ht="12.75">
      <c r="A18" s="287" t="s">
        <v>36</v>
      </c>
      <c r="B18" s="288">
        <f t="shared" si="0"/>
        <v>704</v>
      </c>
      <c r="C18" s="288">
        <f t="shared" si="0"/>
        <v>180038</v>
      </c>
      <c r="D18" s="288">
        <v>479</v>
      </c>
      <c r="E18" s="288">
        <v>125900</v>
      </c>
      <c r="F18" s="288">
        <v>44</v>
      </c>
      <c r="G18" s="288">
        <v>13310</v>
      </c>
      <c r="H18" s="289">
        <v>181</v>
      </c>
      <c r="I18" s="291">
        <v>40828</v>
      </c>
    </row>
    <row r="19" spans="1:9" ht="12.75">
      <c r="A19" s="287" t="s">
        <v>202</v>
      </c>
      <c r="B19" s="288">
        <f t="shared" si="0"/>
        <v>9298</v>
      </c>
      <c r="C19" s="288">
        <f t="shared" si="0"/>
        <v>3125987</v>
      </c>
      <c r="D19" s="288">
        <v>7363</v>
      </c>
      <c r="E19" s="288">
        <v>2447594</v>
      </c>
      <c r="F19" s="288">
        <v>321</v>
      </c>
      <c r="G19" s="288">
        <v>128045</v>
      </c>
      <c r="H19" s="289">
        <v>1614</v>
      </c>
      <c r="I19" s="291">
        <v>550348</v>
      </c>
    </row>
    <row r="20" spans="1:9" ht="12.75">
      <c r="A20" s="287" t="s">
        <v>38</v>
      </c>
      <c r="B20" s="288">
        <f t="shared" si="0"/>
        <v>2129</v>
      </c>
      <c r="C20" s="288">
        <f t="shared" si="0"/>
        <v>457152</v>
      </c>
      <c r="D20" s="288">
        <v>1723</v>
      </c>
      <c r="E20" s="288">
        <v>338551</v>
      </c>
      <c r="F20" s="288">
        <v>112</v>
      </c>
      <c r="G20" s="288">
        <v>31629</v>
      </c>
      <c r="H20" s="289">
        <v>294</v>
      </c>
      <c r="I20" s="291">
        <v>86972</v>
      </c>
    </row>
    <row r="21" spans="1:9" ht="12.75">
      <c r="A21" s="287" t="s">
        <v>39</v>
      </c>
      <c r="B21" s="288">
        <f t="shared" si="0"/>
        <v>2029</v>
      </c>
      <c r="C21" s="288">
        <f t="shared" si="0"/>
        <v>572161</v>
      </c>
      <c r="D21" s="288">
        <v>1656</v>
      </c>
      <c r="E21" s="288">
        <v>445700</v>
      </c>
      <c r="F21" s="288">
        <v>114</v>
      </c>
      <c r="G21" s="288">
        <v>59440</v>
      </c>
      <c r="H21" s="289">
        <v>259</v>
      </c>
      <c r="I21" s="291">
        <v>67021</v>
      </c>
    </row>
    <row r="22" spans="1:9" ht="12.75">
      <c r="A22" s="287" t="s">
        <v>40</v>
      </c>
      <c r="B22" s="288">
        <f t="shared" si="0"/>
        <v>11903</v>
      </c>
      <c r="C22" s="288">
        <f t="shared" si="0"/>
        <v>3558406</v>
      </c>
      <c r="D22" s="288">
        <v>10733</v>
      </c>
      <c r="E22" s="288">
        <v>3323283</v>
      </c>
      <c r="F22" s="288">
        <v>121</v>
      </c>
      <c r="G22" s="288">
        <v>29615</v>
      </c>
      <c r="H22" s="289">
        <v>1049</v>
      </c>
      <c r="I22" s="291">
        <v>205508</v>
      </c>
    </row>
    <row r="23" spans="1:9" ht="12.75">
      <c r="A23" s="287" t="s">
        <v>41</v>
      </c>
      <c r="B23" s="288">
        <f t="shared" si="0"/>
        <v>12511</v>
      </c>
      <c r="C23" s="288">
        <f t="shared" si="0"/>
        <v>2572979</v>
      </c>
      <c r="D23" s="288">
        <v>10533</v>
      </c>
      <c r="E23" s="288">
        <v>2187525</v>
      </c>
      <c r="F23" s="288">
        <v>264</v>
      </c>
      <c r="G23" s="288">
        <v>56414</v>
      </c>
      <c r="H23" s="289">
        <v>1714</v>
      </c>
      <c r="I23" s="291">
        <v>329040</v>
      </c>
    </row>
    <row r="24" spans="1:9" ht="12.75">
      <c r="A24" s="287" t="s">
        <v>42</v>
      </c>
      <c r="B24" s="288">
        <f t="shared" si="0"/>
        <v>1783</v>
      </c>
      <c r="C24" s="288">
        <f t="shared" si="0"/>
        <v>49393</v>
      </c>
      <c r="D24" s="288">
        <v>1443</v>
      </c>
      <c r="E24" s="288">
        <v>35620</v>
      </c>
      <c r="F24" s="288">
        <v>84</v>
      </c>
      <c r="G24" s="288">
        <v>3719</v>
      </c>
      <c r="H24" s="289">
        <v>256</v>
      </c>
      <c r="I24" s="291">
        <v>10054</v>
      </c>
    </row>
    <row r="25" spans="1:10" s="20" customFormat="1" ht="12.75">
      <c r="A25" s="294" t="s">
        <v>227</v>
      </c>
      <c r="B25" s="288">
        <v>2</v>
      </c>
      <c r="C25" s="288">
        <v>34</v>
      </c>
      <c r="D25" s="295">
        <v>2</v>
      </c>
      <c r="E25" s="295">
        <v>34</v>
      </c>
      <c r="F25" s="289" t="s">
        <v>142</v>
      </c>
      <c r="G25" s="289" t="s">
        <v>142</v>
      </c>
      <c r="H25" s="289" t="s">
        <v>142</v>
      </c>
      <c r="I25" s="297" t="s">
        <v>142</v>
      </c>
      <c r="J25" s="248"/>
    </row>
    <row r="26" spans="1:10" s="20" customFormat="1" ht="12.75">
      <c r="A26" s="294" t="s">
        <v>228</v>
      </c>
      <c r="B26" s="288">
        <v>3</v>
      </c>
      <c r="C26" s="288">
        <v>91</v>
      </c>
      <c r="D26" s="295">
        <v>3</v>
      </c>
      <c r="E26" s="295">
        <v>91</v>
      </c>
      <c r="F26" s="289" t="s">
        <v>142</v>
      </c>
      <c r="G26" s="289" t="s">
        <v>142</v>
      </c>
      <c r="H26" s="289" t="s">
        <v>142</v>
      </c>
      <c r="I26" s="297" t="s">
        <v>142</v>
      </c>
      <c r="J26" s="248"/>
    </row>
    <row r="27" spans="1:9" ht="12.75">
      <c r="A27" s="287"/>
      <c r="B27" s="299"/>
      <c r="C27" s="299"/>
      <c r="D27" s="299"/>
      <c r="E27" s="299"/>
      <c r="F27" s="299"/>
      <c r="G27" s="299"/>
      <c r="H27" s="307"/>
      <c r="I27" s="308"/>
    </row>
    <row r="28" spans="1:9" ht="13.5" thickBot="1">
      <c r="A28" s="301" t="s">
        <v>200</v>
      </c>
      <c r="B28" s="302">
        <f aca="true" t="shared" si="1" ref="B28:I28">SUM(B8:B27)</f>
        <v>122196</v>
      </c>
      <c r="C28" s="302">
        <f t="shared" si="1"/>
        <v>20989148</v>
      </c>
      <c r="D28" s="302">
        <f>SUM(D8:D27)</f>
        <v>111098</v>
      </c>
      <c r="E28" s="302">
        <f>SUM(E8:E27)</f>
        <v>17778618</v>
      </c>
      <c r="F28" s="302">
        <f t="shared" si="1"/>
        <v>1992</v>
      </c>
      <c r="G28" s="302">
        <f t="shared" si="1"/>
        <v>695799</v>
      </c>
      <c r="H28" s="302">
        <f t="shared" si="1"/>
        <v>9106</v>
      </c>
      <c r="I28" s="303">
        <f t="shared" si="1"/>
        <v>2514731</v>
      </c>
    </row>
    <row r="29" spans="1:7" ht="12.75">
      <c r="A29" s="304" t="s">
        <v>230</v>
      </c>
      <c r="B29" s="276"/>
      <c r="C29" s="276"/>
      <c r="D29" s="276"/>
      <c r="E29" s="276"/>
      <c r="F29" s="276"/>
      <c r="G29" s="276"/>
    </row>
    <row r="30" spans="1:7" ht="12.75">
      <c r="A30" s="305" t="s">
        <v>268</v>
      </c>
      <c r="B30" s="305"/>
      <c r="C30" s="276"/>
      <c r="D30" s="276"/>
      <c r="E30" s="276"/>
      <c r="F30" s="276"/>
      <c r="G30" s="276"/>
    </row>
    <row r="31" spans="2:7" ht="12.75">
      <c r="B31" s="276"/>
      <c r="C31" s="276"/>
      <c r="D31" s="276"/>
      <c r="E31" s="276"/>
      <c r="F31" s="276"/>
      <c r="G31" s="276"/>
    </row>
    <row r="32" spans="2:7" ht="12.75">
      <c r="B32" s="276"/>
      <c r="C32" s="276"/>
      <c r="D32" s="276"/>
      <c r="E32" s="276"/>
      <c r="F32" s="276"/>
      <c r="G32" s="276"/>
    </row>
    <row r="33" spans="2:7" ht="12.75">
      <c r="B33" s="276"/>
      <c r="C33" s="276"/>
      <c r="D33" s="276"/>
      <c r="E33" s="276"/>
      <c r="F33" s="276"/>
      <c r="G33" s="276"/>
    </row>
    <row r="34" spans="2:7" ht="12.75">
      <c r="B34" s="276"/>
      <c r="C34" s="276"/>
      <c r="D34" s="276"/>
      <c r="F34" s="276"/>
      <c r="G34" s="276"/>
    </row>
    <row r="35" spans="2:7" ht="12.75">
      <c r="B35" s="276"/>
      <c r="C35" s="276"/>
      <c r="D35" s="276"/>
      <c r="E35" s="276"/>
      <c r="F35" s="276"/>
      <c r="G35" s="276"/>
    </row>
    <row r="36" spans="2:7" ht="12.75">
      <c r="B36" s="276"/>
      <c r="C36" s="276"/>
      <c r="D36" s="276"/>
      <c r="E36" s="276"/>
      <c r="F36" s="276"/>
      <c r="G36" s="276"/>
    </row>
    <row r="37" spans="2:7" ht="12.75">
      <c r="B37" s="276"/>
      <c r="C37" s="276"/>
      <c r="D37" s="276"/>
      <c r="E37" s="276"/>
      <c r="F37" s="276"/>
      <c r="G37" s="276"/>
    </row>
    <row r="38" spans="2:7" ht="12.75">
      <c r="B38" s="276"/>
      <c r="C38" s="276"/>
      <c r="D38" s="276"/>
      <c r="E38" s="276"/>
      <c r="F38" s="276"/>
      <c r="G38" s="276"/>
    </row>
    <row r="39" spans="2:7" ht="12.75">
      <c r="B39" s="276"/>
      <c r="C39" s="276"/>
      <c r="D39" s="276"/>
      <c r="E39" s="276"/>
      <c r="F39" s="276"/>
      <c r="G39" s="276"/>
    </row>
    <row r="40" spans="2:7" ht="12.75">
      <c r="B40" s="276"/>
      <c r="C40" s="276"/>
      <c r="D40" s="276"/>
      <c r="E40" s="276"/>
      <c r="F40" s="276"/>
      <c r="G40" s="276"/>
    </row>
    <row r="41" spans="2:7" ht="12.75">
      <c r="B41" s="276"/>
      <c r="C41" s="276"/>
      <c r="D41" s="276"/>
      <c r="E41" s="276"/>
      <c r="F41" s="276"/>
      <c r="G41" s="276"/>
    </row>
    <row r="42" spans="2:7" ht="12.75">
      <c r="B42" s="276"/>
      <c r="C42" s="276"/>
      <c r="D42" s="276"/>
      <c r="E42" s="276"/>
      <c r="F42" s="276"/>
      <c r="G42" s="276"/>
    </row>
    <row r="43" spans="2:7" ht="12.75">
      <c r="B43" s="276"/>
      <c r="C43" s="276"/>
      <c r="D43" s="276"/>
      <c r="E43" s="276"/>
      <c r="F43" s="276"/>
      <c r="G43" s="276"/>
    </row>
    <row r="44" spans="2:7" ht="12.75">
      <c r="B44" s="276"/>
      <c r="C44" s="276"/>
      <c r="D44" s="276"/>
      <c r="E44" s="276"/>
      <c r="F44" s="276"/>
      <c r="G44" s="276"/>
    </row>
    <row r="46" spans="2:7" ht="12.75">
      <c r="B46" s="276"/>
      <c r="C46" s="276"/>
      <c r="D46" s="276"/>
      <c r="E46" s="276"/>
      <c r="F46" s="276"/>
      <c r="G46" s="276"/>
    </row>
    <row r="47" ht="12.75">
      <c r="G47" s="276"/>
    </row>
  </sheetData>
  <mergeCells count="7">
    <mergeCell ref="A1:I1"/>
    <mergeCell ref="A3:I3"/>
    <mergeCell ref="D6:E6"/>
    <mergeCell ref="F6:G6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1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0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19" customWidth="1"/>
    <col min="2" max="2" width="15.28125" style="319" customWidth="1"/>
    <col min="3" max="9" width="12.7109375" style="319" customWidth="1"/>
    <col min="10" max="16384" width="19.140625" style="9" customWidth="1"/>
  </cols>
  <sheetData>
    <row r="1" spans="1:17" ht="18">
      <c r="A1" s="457" t="s">
        <v>139</v>
      </c>
      <c r="B1" s="457"/>
      <c r="C1" s="457"/>
      <c r="D1" s="457"/>
      <c r="E1" s="457"/>
      <c r="F1" s="457"/>
      <c r="G1" s="457"/>
      <c r="H1" s="457"/>
      <c r="I1" s="457"/>
      <c r="K1" s="10"/>
      <c r="L1" s="10"/>
      <c r="M1" s="10"/>
      <c r="N1" s="10"/>
      <c r="O1" s="10"/>
      <c r="P1" s="10"/>
      <c r="Q1" s="10"/>
    </row>
    <row r="3" spans="1:9" ht="15">
      <c r="A3" s="468" t="s">
        <v>218</v>
      </c>
      <c r="B3" s="468"/>
      <c r="C3" s="468"/>
      <c r="D3" s="468"/>
      <c r="E3" s="468"/>
      <c r="F3" s="468"/>
      <c r="G3" s="468"/>
      <c r="H3" s="468"/>
      <c r="I3" s="468"/>
    </row>
    <row r="5" spans="1:9" ht="12.75">
      <c r="A5" s="277"/>
      <c r="B5" s="461" t="s">
        <v>154</v>
      </c>
      <c r="C5" s="462"/>
      <c r="D5" s="465" t="s">
        <v>19</v>
      </c>
      <c r="E5" s="466"/>
      <c r="F5" s="466"/>
      <c r="G5" s="467"/>
      <c r="H5" s="463" t="s">
        <v>66</v>
      </c>
      <c r="I5" s="464"/>
    </row>
    <row r="6" spans="1:9" ht="12.75">
      <c r="A6" s="278" t="s">
        <v>22</v>
      </c>
      <c r="B6" s="279"/>
      <c r="C6" s="280"/>
      <c r="D6" s="459" t="s">
        <v>67</v>
      </c>
      <c r="E6" s="460"/>
      <c r="F6" s="459" t="s">
        <v>25</v>
      </c>
      <c r="G6" s="460"/>
      <c r="H6" s="281"/>
      <c r="I6" s="282"/>
    </row>
    <row r="7" spans="1:9" ht="13.5" thickBot="1">
      <c r="A7" s="283"/>
      <c r="B7" s="284" t="s">
        <v>58</v>
      </c>
      <c r="C7" s="284" t="s">
        <v>153</v>
      </c>
      <c r="D7" s="285" t="s">
        <v>58</v>
      </c>
      <c r="E7" s="285" t="s">
        <v>153</v>
      </c>
      <c r="F7" s="285" t="s">
        <v>58</v>
      </c>
      <c r="G7" s="285" t="s">
        <v>153</v>
      </c>
      <c r="H7" s="285" t="s">
        <v>58</v>
      </c>
      <c r="I7" s="286" t="s">
        <v>153</v>
      </c>
    </row>
    <row r="8" spans="1:9" ht="12.75">
      <c r="A8" s="309" t="s">
        <v>26</v>
      </c>
      <c r="B8" s="310">
        <f>D8+F8+H8</f>
        <v>8036</v>
      </c>
      <c r="C8" s="310">
        <f>E8+G8+I8</f>
        <v>48532</v>
      </c>
      <c r="D8" s="310">
        <v>7939</v>
      </c>
      <c r="E8" s="310">
        <v>47167</v>
      </c>
      <c r="F8" s="310">
        <v>42</v>
      </c>
      <c r="G8" s="310">
        <v>578</v>
      </c>
      <c r="H8" s="311">
        <v>55</v>
      </c>
      <c r="I8" s="312">
        <v>787</v>
      </c>
    </row>
    <row r="9" spans="1:9" ht="12.75">
      <c r="A9" s="313" t="s">
        <v>27</v>
      </c>
      <c r="B9" s="314">
        <f aca="true" t="shared" si="0" ref="B9:C24">D9+F9+H9</f>
        <v>1776</v>
      </c>
      <c r="C9" s="314">
        <f t="shared" si="0"/>
        <v>40198</v>
      </c>
      <c r="D9" s="314">
        <v>1705</v>
      </c>
      <c r="E9" s="314">
        <v>38433</v>
      </c>
      <c r="F9" s="314">
        <v>3</v>
      </c>
      <c r="G9" s="314">
        <v>9</v>
      </c>
      <c r="H9" s="315">
        <v>68</v>
      </c>
      <c r="I9" s="316">
        <v>1756</v>
      </c>
    </row>
    <row r="10" spans="1:9" ht="12.75">
      <c r="A10" s="313" t="s">
        <v>28</v>
      </c>
      <c r="B10" s="314">
        <f t="shared" si="0"/>
        <v>979</v>
      </c>
      <c r="C10" s="314">
        <f t="shared" si="0"/>
        <v>19896</v>
      </c>
      <c r="D10" s="314">
        <v>953</v>
      </c>
      <c r="E10" s="314">
        <v>19137</v>
      </c>
      <c r="F10" s="314">
        <v>1</v>
      </c>
      <c r="G10" s="314">
        <v>2</v>
      </c>
      <c r="H10" s="315">
        <v>25</v>
      </c>
      <c r="I10" s="316">
        <v>757</v>
      </c>
    </row>
    <row r="11" spans="1:9" ht="12.75">
      <c r="A11" s="313" t="s">
        <v>29</v>
      </c>
      <c r="B11" s="314">
        <f t="shared" si="0"/>
        <v>1984</v>
      </c>
      <c r="C11" s="314">
        <f t="shared" si="0"/>
        <v>20414</v>
      </c>
      <c r="D11" s="314">
        <v>1906</v>
      </c>
      <c r="E11" s="314">
        <v>17798</v>
      </c>
      <c r="F11" s="314">
        <v>13</v>
      </c>
      <c r="G11" s="314">
        <v>1008</v>
      </c>
      <c r="H11" s="314">
        <v>65</v>
      </c>
      <c r="I11" s="316">
        <v>1608</v>
      </c>
    </row>
    <row r="12" spans="1:9" ht="12.75">
      <c r="A12" s="313" t="s">
        <v>30</v>
      </c>
      <c r="B12" s="314">
        <f t="shared" si="0"/>
        <v>497</v>
      </c>
      <c r="C12" s="314">
        <f t="shared" si="0"/>
        <v>20752</v>
      </c>
      <c r="D12" s="314">
        <v>425</v>
      </c>
      <c r="E12" s="314">
        <v>17569</v>
      </c>
      <c r="F12" s="314">
        <v>11</v>
      </c>
      <c r="G12" s="314">
        <v>191</v>
      </c>
      <c r="H12" s="314">
        <v>61</v>
      </c>
      <c r="I12" s="316">
        <v>2992</v>
      </c>
    </row>
    <row r="13" spans="1:9" ht="12.75">
      <c r="A13" s="313" t="s">
        <v>31</v>
      </c>
      <c r="B13" s="314">
        <f t="shared" si="0"/>
        <v>289</v>
      </c>
      <c r="C13" s="314">
        <f t="shared" si="0"/>
        <v>15240</v>
      </c>
      <c r="D13" s="314">
        <v>227</v>
      </c>
      <c r="E13" s="314">
        <v>11075</v>
      </c>
      <c r="F13" s="314">
        <v>5</v>
      </c>
      <c r="G13" s="314">
        <v>249</v>
      </c>
      <c r="H13" s="314">
        <v>57</v>
      </c>
      <c r="I13" s="316">
        <v>3916</v>
      </c>
    </row>
    <row r="14" spans="1:9" ht="12.75">
      <c r="A14" s="313" t="s">
        <v>32</v>
      </c>
      <c r="B14" s="314">
        <f t="shared" si="0"/>
        <v>3095</v>
      </c>
      <c r="C14" s="314">
        <f t="shared" si="0"/>
        <v>78612</v>
      </c>
      <c r="D14" s="314">
        <v>2617</v>
      </c>
      <c r="E14" s="314">
        <v>61828</v>
      </c>
      <c r="F14" s="314">
        <v>110</v>
      </c>
      <c r="G14" s="314">
        <v>4846</v>
      </c>
      <c r="H14" s="314">
        <v>368</v>
      </c>
      <c r="I14" s="316">
        <v>11938</v>
      </c>
    </row>
    <row r="15" spans="1:9" ht="12.75">
      <c r="A15" s="313" t="s">
        <v>33</v>
      </c>
      <c r="B15" s="314">
        <f t="shared" si="0"/>
        <v>1847</v>
      </c>
      <c r="C15" s="314">
        <f t="shared" si="0"/>
        <v>72377</v>
      </c>
      <c r="D15" s="314">
        <v>1647</v>
      </c>
      <c r="E15" s="314">
        <v>57970</v>
      </c>
      <c r="F15" s="314">
        <v>49</v>
      </c>
      <c r="G15" s="314">
        <v>7654</v>
      </c>
      <c r="H15" s="314">
        <v>151</v>
      </c>
      <c r="I15" s="316">
        <v>6753</v>
      </c>
    </row>
    <row r="16" spans="1:9" ht="12.75">
      <c r="A16" s="313" t="s">
        <v>34</v>
      </c>
      <c r="B16" s="314">
        <f t="shared" si="0"/>
        <v>1551</v>
      </c>
      <c r="C16" s="314">
        <f t="shared" si="0"/>
        <v>19228</v>
      </c>
      <c r="D16" s="314">
        <v>1536</v>
      </c>
      <c r="E16" s="314">
        <v>19081</v>
      </c>
      <c r="F16" s="314">
        <v>12</v>
      </c>
      <c r="G16" s="314">
        <v>67</v>
      </c>
      <c r="H16" s="315">
        <v>3</v>
      </c>
      <c r="I16" s="312">
        <v>80</v>
      </c>
    </row>
    <row r="17" spans="1:9" ht="12.75">
      <c r="A17" s="313" t="s">
        <v>35</v>
      </c>
      <c r="B17" s="314">
        <f t="shared" si="0"/>
        <v>3739</v>
      </c>
      <c r="C17" s="314">
        <f t="shared" si="0"/>
        <v>209951</v>
      </c>
      <c r="D17" s="314">
        <v>3097</v>
      </c>
      <c r="E17" s="314">
        <v>159282</v>
      </c>
      <c r="F17" s="314">
        <v>74</v>
      </c>
      <c r="G17" s="314">
        <v>5200</v>
      </c>
      <c r="H17" s="314">
        <v>568</v>
      </c>
      <c r="I17" s="316">
        <v>45469</v>
      </c>
    </row>
    <row r="18" spans="1:9" ht="12.75">
      <c r="A18" s="313" t="s">
        <v>36</v>
      </c>
      <c r="B18" s="314">
        <f t="shared" si="0"/>
        <v>306</v>
      </c>
      <c r="C18" s="314">
        <f t="shared" si="0"/>
        <v>27072</v>
      </c>
      <c r="D18" s="314">
        <v>189</v>
      </c>
      <c r="E18" s="314">
        <v>15935</v>
      </c>
      <c r="F18" s="314">
        <v>24</v>
      </c>
      <c r="G18" s="314">
        <v>1982</v>
      </c>
      <c r="H18" s="314">
        <v>93</v>
      </c>
      <c r="I18" s="316">
        <v>9155</v>
      </c>
    </row>
    <row r="19" spans="1:9" ht="12.75">
      <c r="A19" s="313" t="s">
        <v>202</v>
      </c>
      <c r="B19" s="314">
        <f t="shared" si="0"/>
        <v>5890</v>
      </c>
      <c r="C19" s="314">
        <f t="shared" si="0"/>
        <v>390525</v>
      </c>
      <c r="D19" s="314">
        <v>4613</v>
      </c>
      <c r="E19" s="314">
        <v>296290</v>
      </c>
      <c r="F19" s="314">
        <v>213</v>
      </c>
      <c r="G19" s="314">
        <v>14108</v>
      </c>
      <c r="H19" s="314">
        <v>1064</v>
      </c>
      <c r="I19" s="316">
        <v>80127</v>
      </c>
    </row>
    <row r="20" spans="1:9" ht="12.75">
      <c r="A20" s="313" t="s">
        <v>38</v>
      </c>
      <c r="B20" s="314">
        <f t="shared" si="0"/>
        <v>1472</v>
      </c>
      <c r="C20" s="314">
        <f t="shared" si="0"/>
        <v>79448</v>
      </c>
      <c r="D20" s="314">
        <v>1233</v>
      </c>
      <c r="E20" s="314">
        <v>55294</v>
      </c>
      <c r="F20" s="314">
        <v>69</v>
      </c>
      <c r="G20" s="314">
        <v>6981</v>
      </c>
      <c r="H20" s="314">
        <v>170</v>
      </c>
      <c r="I20" s="316">
        <v>17173</v>
      </c>
    </row>
    <row r="21" spans="1:9" ht="12.75">
      <c r="A21" s="313" t="s">
        <v>39</v>
      </c>
      <c r="B21" s="314">
        <f t="shared" si="0"/>
        <v>2041</v>
      </c>
      <c r="C21" s="314">
        <f t="shared" si="0"/>
        <v>135444</v>
      </c>
      <c r="D21" s="314">
        <v>1688</v>
      </c>
      <c r="E21" s="314">
        <v>106158</v>
      </c>
      <c r="F21" s="314">
        <v>98</v>
      </c>
      <c r="G21" s="314">
        <v>10352</v>
      </c>
      <c r="H21" s="315">
        <v>255</v>
      </c>
      <c r="I21" s="312">
        <v>18934</v>
      </c>
    </row>
    <row r="22" spans="1:9" ht="12.75">
      <c r="A22" s="313" t="s">
        <v>40</v>
      </c>
      <c r="B22" s="314">
        <f t="shared" si="0"/>
        <v>5863</v>
      </c>
      <c r="C22" s="314">
        <f t="shared" si="0"/>
        <v>303514</v>
      </c>
      <c r="D22" s="314">
        <v>5144</v>
      </c>
      <c r="E22" s="314">
        <v>235400</v>
      </c>
      <c r="F22" s="314">
        <v>67</v>
      </c>
      <c r="G22" s="314">
        <v>9899</v>
      </c>
      <c r="H22" s="314">
        <v>652</v>
      </c>
      <c r="I22" s="316">
        <v>58215</v>
      </c>
    </row>
    <row r="23" spans="1:9" ht="12.75">
      <c r="A23" s="313" t="s">
        <v>41</v>
      </c>
      <c r="B23" s="314">
        <f t="shared" si="0"/>
        <v>13849</v>
      </c>
      <c r="C23" s="314">
        <f t="shared" si="0"/>
        <v>1022506</v>
      </c>
      <c r="D23" s="314">
        <v>11163</v>
      </c>
      <c r="E23" s="314">
        <v>733920</v>
      </c>
      <c r="F23" s="314">
        <v>359</v>
      </c>
      <c r="G23" s="314">
        <v>45868</v>
      </c>
      <c r="H23" s="314">
        <v>2327</v>
      </c>
      <c r="I23" s="316">
        <v>242718</v>
      </c>
    </row>
    <row r="24" spans="1:9" ht="12.75">
      <c r="A24" s="313" t="s">
        <v>42</v>
      </c>
      <c r="B24" s="314">
        <f t="shared" si="0"/>
        <v>6314</v>
      </c>
      <c r="C24" s="314">
        <f t="shared" si="0"/>
        <v>239436</v>
      </c>
      <c r="D24" s="314">
        <v>5317</v>
      </c>
      <c r="E24" s="314">
        <v>151874</v>
      </c>
      <c r="F24" s="314">
        <v>287</v>
      </c>
      <c r="G24" s="314">
        <v>37237</v>
      </c>
      <c r="H24" s="314">
        <v>710</v>
      </c>
      <c r="I24" s="316">
        <v>50325</v>
      </c>
    </row>
    <row r="25" spans="1:10" s="20" customFormat="1" ht="12.75">
      <c r="A25" s="294" t="s">
        <v>227</v>
      </c>
      <c r="B25" s="295">
        <v>1</v>
      </c>
      <c r="C25" s="295">
        <v>4</v>
      </c>
      <c r="D25" s="295">
        <v>1</v>
      </c>
      <c r="E25" s="295">
        <v>4</v>
      </c>
      <c r="F25" s="295" t="s">
        <v>142</v>
      </c>
      <c r="G25" s="295" t="s">
        <v>142</v>
      </c>
      <c r="H25" s="289" t="s">
        <v>142</v>
      </c>
      <c r="I25" s="297" t="s">
        <v>142</v>
      </c>
      <c r="J25" s="248"/>
    </row>
    <row r="26" spans="1:10" s="20" customFormat="1" ht="12.75">
      <c r="A26" s="294" t="s">
        <v>228</v>
      </c>
      <c r="B26" s="295" t="s">
        <v>142</v>
      </c>
      <c r="C26" s="295" t="s">
        <v>142</v>
      </c>
      <c r="D26" s="295" t="s">
        <v>142</v>
      </c>
      <c r="E26" s="295" t="s">
        <v>142</v>
      </c>
      <c r="F26" s="295" t="s">
        <v>142</v>
      </c>
      <c r="G26" s="295" t="s">
        <v>142</v>
      </c>
      <c r="H26" s="289" t="s">
        <v>142</v>
      </c>
      <c r="I26" s="297" t="s">
        <v>142</v>
      </c>
      <c r="J26" s="248"/>
    </row>
    <row r="27" spans="1:9" ht="12.75">
      <c r="A27" s="313"/>
      <c r="B27" s="317"/>
      <c r="C27" s="317"/>
      <c r="D27" s="317"/>
      <c r="E27" s="317"/>
      <c r="F27" s="317"/>
      <c r="G27" s="317"/>
      <c r="H27" s="317"/>
      <c r="I27" s="318"/>
    </row>
    <row r="28" spans="1:9" ht="13.5" thickBot="1">
      <c r="A28" s="407" t="s">
        <v>200</v>
      </c>
      <c r="B28" s="408">
        <f>SUM(B8:B27)</f>
        <v>59529</v>
      </c>
      <c r="C28" s="408">
        <f aca="true" t="shared" si="1" ref="C28:I28">SUM(C8:C27)</f>
        <v>2743149</v>
      </c>
      <c r="D28" s="408">
        <f t="shared" si="1"/>
        <v>51400</v>
      </c>
      <c r="E28" s="408">
        <f t="shared" si="1"/>
        <v>2044215</v>
      </c>
      <c r="F28" s="408">
        <f t="shared" si="1"/>
        <v>1437</v>
      </c>
      <c r="G28" s="408">
        <f t="shared" si="1"/>
        <v>146231</v>
      </c>
      <c r="H28" s="408">
        <f t="shared" si="1"/>
        <v>6692</v>
      </c>
      <c r="I28" s="409">
        <f t="shared" si="1"/>
        <v>552703</v>
      </c>
    </row>
    <row r="29" ht="12.75">
      <c r="A29" s="304" t="s">
        <v>230</v>
      </c>
    </row>
    <row r="30" spans="1:2" ht="12.75">
      <c r="A30" s="305" t="s">
        <v>268</v>
      </c>
      <c r="B30" s="305"/>
    </row>
  </sheetData>
  <mergeCells count="7">
    <mergeCell ref="A1:I1"/>
    <mergeCell ref="D6:E6"/>
    <mergeCell ref="F6:G6"/>
    <mergeCell ref="A3:I3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19" customWidth="1"/>
    <col min="2" max="2" width="15.28125" style="319" customWidth="1"/>
    <col min="3" max="9" width="12.7109375" style="319" customWidth="1"/>
    <col min="10" max="16384" width="19.140625" style="9" customWidth="1"/>
  </cols>
  <sheetData>
    <row r="1" spans="1:17" ht="18">
      <c r="A1" s="457" t="s">
        <v>139</v>
      </c>
      <c r="B1" s="457"/>
      <c r="C1" s="457"/>
      <c r="D1" s="457"/>
      <c r="E1" s="457"/>
      <c r="F1" s="457"/>
      <c r="G1" s="457"/>
      <c r="H1" s="457"/>
      <c r="I1" s="457"/>
      <c r="K1" s="10"/>
      <c r="L1" s="10"/>
      <c r="M1" s="10"/>
      <c r="N1" s="10"/>
      <c r="O1" s="10"/>
      <c r="P1" s="10"/>
      <c r="Q1" s="10"/>
    </row>
    <row r="3" spans="1:9" ht="15">
      <c r="A3" s="468" t="s">
        <v>219</v>
      </c>
      <c r="B3" s="468"/>
      <c r="C3" s="468"/>
      <c r="D3" s="468"/>
      <c r="E3" s="468"/>
      <c r="F3" s="468"/>
      <c r="G3" s="468"/>
      <c r="H3" s="468"/>
      <c r="I3" s="468"/>
    </row>
    <row r="5" spans="1:9" ht="12.75">
      <c r="A5" s="277"/>
      <c r="B5" s="461" t="s">
        <v>154</v>
      </c>
      <c r="C5" s="462"/>
      <c r="D5" s="465" t="s">
        <v>19</v>
      </c>
      <c r="E5" s="466"/>
      <c r="F5" s="466"/>
      <c r="G5" s="467"/>
      <c r="H5" s="463" t="s">
        <v>66</v>
      </c>
      <c r="I5" s="464"/>
    </row>
    <row r="6" spans="1:9" ht="12.75">
      <c r="A6" s="278" t="s">
        <v>22</v>
      </c>
      <c r="B6" s="279"/>
      <c r="C6" s="280"/>
      <c r="D6" s="459" t="s">
        <v>67</v>
      </c>
      <c r="E6" s="460"/>
      <c r="F6" s="459" t="s">
        <v>25</v>
      </c>
      <c r="G6" s="460"/>
      <c r="H6" s="281"/>
      <c r="I6" s="282"/>
    </row>
    <row r="7" spans="1:9" ht="13.5" thickBot="1">
      <c r="A7" s="283"/>
      <c r="B7" s="284" t="s">
        <v>58</v>
      </c>
      <c r="C7" s="284" t="s">
        <v>153</v>
      </c>
      <c r="D7" s="285" t="s">
        <v>58</v>
      </c>
      <c r="E7" s="285" t="s">
        <v>153</v>
      </c>
      <c r="F7" s="285" t="s">
        <v>58</v>
      </c>
      <c r="G7" s="285" t="s">
        <v>153</v>
      </c>
      <c r="H7" s="285" t="s">
        <v>58</v>
      </c>
      <c r="I7" s="286" t="s">
        <v>153</v>
      </c>
    </row>
    <row r="8" spans="1:9" ht="12.75">
      <c r="A8" s="309" t="s">
        <v>26</v>
      </c>
      <c r="B8" s="310">
        <f>D8+F8+H8</f>
        <v>109010</v>
      </c>
      <c r="C8" s="310">
        <f>E8+G8+I8</f>
        <v>1239797</v>
      </c>
      <c r="D8" s="310">
        <v>108007</v>
      </c>
      <c r="E8" s="310">
        <v>863344</v>
      </c>
      <c r="F8" s="310">
        <v>464</v>
      </c>
      <c r="G8" s="310">
        <v>155156</v>
      </c>
      <c r="H8" s="310">
        <v>539</v>
      </c>
      <c r="I8" s="320">
        <v>221297</v>
      </c>
    </row>
    <row r="9" spans="1:9" ht="12.75">
      <c r="A9" s="313" t="s">
        <v>27</v>
      </c>
      <c r="B9" s="314">
        <f aca="true" t="shared" si="0" ref="B9:C24">D9+F9+H9</f>
        <v>13578</v>
      </c>
      <c r="C9" s="314">
        <f t="shared" si="0"/>
        <v>47216</v>
      </c>
      <c r="D9" s="314">
        <v>13444</v>
      </c>
      <c r="E9" s="314">
        <v>46501</v>
      </c>
      <c r="F9" s="317">
        <v>30</v>
      </c>
      <c r="G9" s="317">
        <v>190</v>
      </c>
      <c r="H9" s="314">
        <v>104</v>
      </c>
      <c r="I9" s="318">
        <v>525</v>
      </c>
    </row>
    <row r="10" spans="1:9" ht="12.75">
      <c r="A10" s="313" t="s">
        <v>28</v>
      </c>
      <c r="B10" s="314">
        <f t="shared" si="0"/>
        <v>1458</v>
      </c>
      <c r="C10" s="314">
        <f t="shared" si="0"/>
        <v>17017</v>
      </c>
      <c r="D10" s="314">
        <v>1439</v>
      </c>
      <c r="E10" s="314">
        <v>16388</v>
      </c>
      <c r="F10" s="317">
        <v>5</v>
      </c>
      <c r="G10" s="317">
        <v>591</v>
      </c>
      <c r="H10" s="321">
        <v>14</v>
      </c>
      <c r="I10" s="312">
        <v>38</v>
      </c>
    </row>
    <row r="11" spans="1:9" ht="12.75">
      <c r="A11" s="313" t="s">
        <v>29</v>
      </c>
      <c r="B11" s="314">
        <f t="shared" si="0"/>
        <v>3102</v>
      </c>
      <c r="C11" s="314">
        <f t="shared" si="0"/>
        <v>38407</v>
      </c>
      <c r="D11" s="314">
        <v>3070</v>
      </c>
      <c r="E11" s="314">
        <v>28508</v>
      </c>
      <c r="F11" s="317">
        <v>7</v>
      </c>
      <c r="G11" s="317">
        <v>3246</v>
      </c>
      <c r="H11" s="314">
        <v>25</v>
      </c>
      <c r="I11" s="318">
        <v>6653</v>
      </c>
    </row>
    <row r="12" spans="1:9" ht="12.75">
      <c r="A12" s="313" t="s">
        <v>30</v>
      </c>
      <c r="B12" s="314">
        <f t="shared" si="0"/>
        <v>1705</v>
      </c>
      <c r="C12" s="314">
        <f t="shared" si="0"/>
        <v>503810</v>
      </c>
      <c r="D12" s="314">
        <v>1560</v>
      </c>
      <c r="E12" s="314">
        <v>322277</v>
      </c>
      <c r="F12" s="314">
        <v>65</v>
      </c>
      <c r="G12" s="314">
        <v>128161</v>
      </c>
      <c r="H12" s="314">
        <v>80</v>
      </c>
      <c r="I12" s="318">
        <v>53372</v>
      </c>
    </row>
    <row r="13" spans="1:9" ht="12.75">
      <c r="A13" s="313" t="s">
        <v>31</v>
      </c>
      <c r="B13" s="314">
        <f t="shared" si="0"/>
        <v>606</v>
      </c>
      <c r="C13" s="314">
        <f t="shared" si="0"/>
        <v>118336</v>
      </c>
      <c r="D13" s="314">
        <v>548</v>
      </c>
      <c r="E13" s="314">
        <v>60263</v>
      </c>
      <c r="F13" s="314">
        <v>17</v>
      </c>
      <c r="G13" s="314">
        <v>34725</v>
      </c>
      <c r="H13" s="314">
        <v>41</v>
      </c>
      <c r="I13" s="318">
        <v>23348</v>
      </c>
    </row>
    <row r="14" spans="1:9" ht="12.75">
      <c r="A14" s="313" t="s">
        <v>32</v>
      </c>
      <c r="B14" s="314">
        <f t="shared" si="0"/>
        <v>4938</v>
      </c>
      <c r="C14" s="314">
        <f t="shared" si="0"/>
        <v>3669060</v>
      </c>
      <c r="D14" s="314">
        <v>4009</v>
      </c>
      <c r="E14" s="314">
        <v>2331210</v>
      </c>
      <c r="F14" s="314">
        <v>530</v>
      </c>
      <c r="G14" s="314">
        <v>951447</v>
      </c>
      <c r="H14" s="314">
        <v>399</v>
      </c>
      <c r="I14" s="318">
        <v>386403</v>
      </c>
    </row>
    <row r="15" spans="1:9" ht="12.75">
      <c r="A15" s="313" t="s">
        <v>33</v>
      </c>
      <c r="B15" s="314">
        <f t="shared" si="0"/>
        <v>7965</v>
      </c>
      <c r="C15" s="314">
        <f t="shared" si="0"/>
        <v>6019632</v>
      </c>
      <c r="D15" s="314">
        <v>7075</v>
      </c>
      <c r="E15" s="314">
        <v>4792821</v>
      </c>
      <c r="F15" s="314">
        <v>459</v>
      </c>
      <c r="G15" s="314">
        <v>708930</v>
      </c>
      <c r="H15" s="314">
        <v>431</v>
      </c>
      <c r="I15" s="318">
        <v>517881</v>
      </c>
    </row>
    <row r="16" spans="1:9" ht="12.75">
      <c r="A16" s="313" t="s">
        <v>34</v>
      </c>
      <c r="B16" s="314">
        <f t="shared" si="0"/>
        <v>4154</v>
      </c>
      <c r="C16" s="314">
        <f t="shared" si="0"/>
        <v>97806</v>
      </c>
      <c r="D16" s="314">
        <v>4129</v>
      </c>
      <c r="E16" s="314">
        <v>93822</v>
      </c>
      <c r="F16" s="314">
        <v>18</v>
      </c>
      <c r="G16" s="314">
        <v>3059</v>
      </c>
      <c r="H16" s="321">
        <v>7</v>
      </c>
      <c r="I16" s="312">
        <v>925</v>
      </c>
    </row>
    <row r="17" spans="1:9" ht="12.75">
      <c r="A17" s="313" t="s">
        <v>35</v>
      </c>
      <c r="B17" s="314">
        <f t="shared" si="0"/>
        <v>33044</v>
      </c>
      <c r="C17" s="314">
        <f t="shared" si="0"/>
        <v>3027081</v>
      </c>
      <c r="D17" s="314">
        <v>30250</v>
      </c>
      <c r="E17" s="314">
        <v>1993258</v>
      </c>
      <c r="F17" s="314">
        <v>642</v>
      </c>
      <c r="G17" s="314">
        <v>412689</v>
      </c>
      <c r="H17" s="314">
        <v>2152</v>
      </c>
      <c r="I17" s="318">
        <v>621134</v>
      </c>
    </row>
    <row r="18" spans="1:9" ht="12.75">
      <c r="A18" s="313" t="s">
        <v>36</v>
      </c>
      <c r="B18" s="314">
        <f t="shared" si="0"/>
        <v>192</v>
      </c>
      <c r="C18" s="314">
        <f t="shared" si="0"/>
        <v>48511</v>
      </c>
      <c r="D18" s="314">
        <v>144</v>
      </c>
      <c r="E18" s="314">
        <v>19303</v>
      </c>
      <c r="F18" s="314">
        <v>17</v>
      </c>
      <c r="G18" s="314">
        <v>22087</v>
      </c>
      <c r="H18" s="314">
        <v>31</v>
      </c>
      <c r="I18" s="318">
        <v>7121</v>
      </c>
    </row>
    <row r="19" spans="1:9" ht="12.75">
      <c r="A19" s="313" t="s">
        <v>202</v>
      </c>
      <c r="B19" s="314">
        <f t="shared" si="0"/>
        <v>3860</v>
      </c>
      <c r="C19" s="314">
        <f t="shared" si="0"/>
        <v>1298451</v>
      </c>
      <c r="D19" s="314">
        <v>3282</v>
      </c>
      <c r="E19" s="314">
        <v>807107</v>
      </c>
      <c r="F19" s="314">
        <v>172</v>
      </c>
      <c r="G19" s="314">
        <v>170279</v>
      </c>
      <c r="H19" s="314">
        <v>406</v>
      </c>
      <c r="I19" s="318">
        <v>321065</v>
      </c>
    </row>
    <row r="20" spans="1:9" ht="12.75">
      <c r="A20" s="313" t="s">
        <v>38</v>
      </c>
      <c r="B20" s="314">
        <f t="shared" si="0"/>
        <v>1452</v>
      </c>
      <c r="C20" s="314">
        <f t="shared" si="0"/>
        <v>1190217</v>
      </c>
      <c r="D20" s="314">
        <v>1190</v>
      </c>
      <c r="E20" s="314">
        <v>812143</v>
      </c>
      <c r="F20" s="314">
        <v>125</v>
      </c>
      <c r="G20" s="314">
        <v>192309</v>
      </c>
      <c r="H20" s="314">
        <v>137</v>
      </c>
      <c r="I20" s="318">
        <v>185765</v>
      </c>
    </row>
    <row r="21" spans="1:9" ht="12.75">
      <c r="A21" s="313" t="s">
        <v>39</v>
      </c>
      <c r="B21" s="314">
        <f t="shared" si="0"/>
        <v>1641</v>
      </c>
      <c r="C21" s="314">
        <f t="shared" si="0"/>
        <v>1570301</v>
      </c>
      <c r="D21" s="314">
        <v>1385</v>
      </c>
      <c r="E21" s="314">
        <v>1087826</v>
      </c>
      <c r="F21" s="314">
        <v>126</v>
      </c>
      <c r="G21" s="314">
        <v>338886</v>
      </c>
      <c r="H21" s="314">
        <v>130</v>
      </c>
      <c r="I21" s="318">
        <v>143589</v>
      </c>
    </row>
    <row r="22" spans="1:9" ht="12.75">
      <c r="A22" s="313" t="s">
        <v>40</v>
      </c>
      <c r="B22" s="314">
        <f t="shared" si="0"/>
        <v>16575</v>
      </c>
      <c r="C22" s="314">
        <f t="shared" si="0"/>
        <v>1206592</v>
      </c>
      <c r="D22" s="314">
        <v>15307</v>
      </c>
      <c r="E22" s="314">
        <v>1084050</v>
      </c>
      <c r="F22" s="314">
        <v>203</v>
      </c>
      <c r="G22" s="314">
        <v>40436</v>
      </c>
      <c r="H22" s="314">
        <v>1065</v>
      </c>
      <c r="I22" s="318">
        <v>82106</v>
      </c>
    </row>
    <row r="23" spans="1:9" ht="12.75">
      <c r="A23" s="313" t="s">
        <v>41</v>
      </c>
      <c r="B23" s="314">
        <f t="shared" si="0"/>
        <v>13472</v>
      </c>
      <c r="C23" s="314">
        <f t="shared" si="0"/>
        <v>1936625</v>
      </c>
      <c r="D23" s="314">
        <v>12319</v>
      </c>
      <c r="E23" s="314">
        <v>1531606</v>
      </c>
      <c r="F23" s="314">
        <v>385</v>
      </c>
      <c r="G23" s="314">
        <v>235899</v>
      </c>
      <c r="H23" s="314">
        <v>768</v>
      </c>
      <c r="I23" s="318">
        <v>169120</v>
      </c>
    </row>
    <row r="24" spans="1:9" ht="12.75">
      <c r="A24" s="313" t="s">
        <v>42</v>
      </c>
      <c r="B24" s="314">
        <f t="shared" si="0"/>
        <v>1357</v>
      </c>
      <c r="C24" s="314">
        <f t="shared" si="0"/>
        <v>50714</v>
      </c>
      <c r="D24" s="314">
        <v>1135</v>
      </c>
      <c r="E24" s="314">
        <v>24434</v>
      </c>
      <c r="F24" s="314">
        <v>88</v>
      </c>
      <c r="G24" s="314">
        <v>15941</v>
      </c>
      <c r="H24" s="314">
        <v>134</v>
      </c>
      <c r="I24" s="318">
        <v>10339</v>
      </c>
    </row>
    <row r="25" spans="1:10" s="20" customFormat="1" ht="12.75">
      <c r="A25" s="294" t="s">
        <v>227</v>
      </c>
      <c r="B25" s="295">
        <v>1</v>
      </c>
      <c r="C25" s="295">
        <v>18</v>
      </c>
      <c r="D25" s="295">
        <v>1</v>
      </c>
      <c r="E25" s="295">
        <v>18</v>
      </c>
      <c r="F25" s="295" t="s">
        <v>142</v>
      </c>
      <c r="G25" s="295" t="s">
        <v>142</v>
      </c>
      <c r="H25" s="295" t="s">
        <v>142</v>
      </c>
      <c r="I25" s="365" t="s">
        <v>142</v>
      </c>
      <c r="J25" s="248"/>
    </row>
    <row r="26" spans="1:10" s="20" customFormat="1" ht="12.75">
      <c r="A26" s="294" t="s">
        <v>228</v>
      </c>
      <c r="B26" s="295" t="s">
        <v>142</v>
      </c>
      <c r="C26" s="295" t="s">
        <v>142</v>
      </c>
      <c r="D26" s="295" t="s">
        <v>142</v>
      </c>
      <c r="E26" s="295" t="s">
        <v>142</v>
      </c>
      <c r="F26" s="295" t="s">
        <v>142</v>
      </c>
      <c r="G26" s="295" t="s">
        <v>142</v>
      </c>
      <c r="H26" s="295" t="s">
        <v>142</v>
      </c>
      <c r="I26" s="365" t="s">
        <v>142</v>
      </c>
      <c r="J26" s="248"/>
    </row>
    <row r="27" spans="1:9" ht="12.75">
      <c r="A27" s="313"/>
      <c r="B27" s="317"/>
      <c r="C27" s="317"/>
      <c r="D27" s="317"/>
      <c r="E27" s="317"/>
      <c r="F27" s="317"/>
      <c r="G27" s="317"/>
      <c r="H27" s="317"/>
      <c r="I27" s="318"/>
    </row>
    <row r="28" spans="1:9" ht="13.5" thickBot="1">
      <c r="A28" s="407" t="s">
        <v>200</v>
      </c>
      <c r="B28" s="408">
        <f>SUM(B8:B27)</f>
        <v>218110</v>
      </c>
      <c r="C28" s="408">
        <f aca="true" t="shared" si="1" ref="C28:I28">SUM(C8:C27)</f>
        <v>22079591</v>
      </c>
      <c r="D28" s="408">
        <f>SUM(D8:D27)</f>
        <v>208294</v>
      </c>
      <c r="E28" s="408">
        <f>SUM(E8:E27)</f>
        <v>15914879</v>
      </c>
      <c r="F28" s="408">
        <f t="shared" si="1"/>
        <v>3353</v>
      </c>
      <c r="G28" s="408">
        <f t="shared" si="1"/>
        <v>3414031</v>
      </c>
      <c r="H28" s="408">
        <f t="shared" si="1"/>
        <v>6463</v>
      </c>
      <c r="I28" s="409">
        <f t="shared" si="1"/>
        <v>2750681</v>
      </c>
    </row>
    <row r="29" ht="12.75">
      <c r="A29" s="304" t="s">
        <v>230</v>
      </c>
    </row>
    <row r="30" spans="1:2" ht="12.75">
      <c r="A30" s="305" t="s">
        <v>268</v>
      </c>
      <c r="B30" s="305"/>
    </row>
    <row r="39" ht="12.75">
      <c r="D39" s="322"/>
    </row>
  </sheetData>
  <mergeCells count="7">
    <mergeCell ref="A1:I1"/>
    <mergeCell ref="A3:I3"/>
    <mergeCell ref="D6:E6"/>
    <mergeCell ref="F6:G6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0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37" customWidth="1"/>
    <col min="2" max="9" width="15.7109375" style="337" customWidth="1"/>
    <col min="10" max="16384" width="19.140625" style="8" customWidth="1"/>
  </cols>
  <sheetData>
    <row r="1" spans="1:9" ht="18">
      <c r="A1" s="457" t="s">
        <v>139</v>
      </c>
      <c r="B1" s="457"/>
      <c r="C1" s="457"/>
      <c r="D1" s="457"/>
      <c r="E1" s="457"/>
      <c r="F1" s="457"/>
      <c r="G1" s="457"/>
      <c r="H1" s="457"/>
      <c r="I1" s="457"/>
    </row>
    <row r="2" spans="1:9" ht="18">
      <c r="A2" s="274"/>
      <c r="B2" s="274"/>
      <c r="C2" s="274"/>
      <c r="D2" s="274"/>
      <c r="E2" s="274"/>
      <c r="F2" s="274"/>
      <c r="G2" s="274"/>
      <c r="H2" s="274"/>
      <c r="I2" s="274"/>
    </row>
    <row r="3" spans="1:9" ht="15">
      <c r="A3" s="469" t="s">
        <v>220</v>
      </c>
      <c r="B3" s="469"/>
      <c r="C3" s="469"/>
      <c r="D3" s="469"/>
      <c r="E3" s="469"/>
      <c r="F3" s="469"/>
      <c r="G3" s="469"/>
      <c r="H3" s="469"/>
      <c r="I3" s="469"/>
    </row>
    <row r="5" spans="1:9" ht="12.75">
      <c r="A5" s="277"/>
      <c r="B5" s="461" t="s">
        <v>154</v>
      </c>
      <c r="C5" s="462"/>
      <c r="D5" s="465" t="s">
        <v>19</v>
      </c>
      <c r="E5" s="466"/>
      <c r="F5" s="466"/>
      <c r="G5" s="467"/>
      <c r="H5" s="463" t="s">
        <v>66</v>
      </c>
      <c r="I5" s="464"/>
    </row>
    <row r="6" spans="1:9" ht="12.75">
      <c r="A6" s="278" t="s">
        <v>22</v>
      </c>
      <c r="B6" s="279"/>
      <c r="C6" s="280"/>
      <c r="D6" s="459" t="s">
        <v>67</v>
      </c>
      <c r="E6" s="460"/>
      <c r="F6" s="459" t="s">
        <v>25</v>
      </c>
      <c r="G6" s="460"/>
      <c r="H6" s="281"/>
      <c r="I6" s="282"/>
    </row>
    <row r="7" spans="1:9" ht="13.5" thickBot="1">
      <c r="A7" s="283"/>
      <c r="B7" s="284" t="s">
        <v>58</v>
      </c>
      <c r="C7" s="284" t="s">
        <v>153</v>
      </c>
      <c r="D7" s="285" t="s">
        <v>58</v>
      </c>
      <c r="E7" s="285" t="s">
        <v>153</v>
      </c>
      <c r="F7" s="285" t="s">
        <v>58</v>
      </c>
      <c r="G7" s="285" t="s">
        <v>153</v>
      </c>
      <c r="H7" s="285" t="s">
        <v>58</v>
      </c>
      <c r="I7" s="286" t="s">
        <v>153</v>
      </c>
    </row>
    <row r="8" spans="1:9" ht="12.75">
      <c r="A8" s="323" t="s">
        <v>26</v>
      </c>
      <c r="B8" s="324">
        <f>D8+F8+H8</f>
        <v>28364</v>
      </c>
      <c r="C8" s="324">
        <f>E8+G8+I8</f>
        <v>48024</v>
      </c>
      <c r="D8" s="324">
        <v>28133</v>
      </c>
      <c r="E8" s="324">
        <v>46869</v>
      </c>
      <c r="F8" s="324">
        <v>144</v>
      </c>
      <c r="G8" s="324">
        <v>763</v>
      </c>
      <c r="H8" s="325">
        <v>87</v>
      </c>
      <c r="I8" s="326">
        <v>392</v>
      </c>
    </row>
    <row r="9" spans="1:9" ht="12.75">
      <c r="A9" s="327" t="s">
        <v>27</v>
      </c>
      <c r="B9" s="328">
        <f aca="true" t="shared" si="0" ref="B9:C24">D9+F9+H9</f>
        <v>14184</v>
      </c>
      <c r="C9" s="328">
        <f t="shared" si="0"/>
        <v>33934</v>
      </c>
      <c r="D9" s="328">
        <v>13927</v>
      </c>
      <c r="E9" s="328">
        <v>33188</v>
      </c>
      <c r="F9" s="328">
        <v>19</v>
      </c>
      <c r="G9" s="328">
        <v>79</v>
      </c>
      <c r="H9" s="328">
        <v>238</v>
      </c>
      <c r="I9" s="329">
        <v>667</v>
      </c>
    </row>
    <row r="10" spans="1:9" ht="12.75">
      <c r="A10" s="327" t="s">
        <v>28</v>
      </c>
      <c r="B10" s="328">
        <f t="shared" si="0"/>
        <v>7373</v>
      </c>
      <c r="C10" s="328">
        <f t="shared" si="0"/>
        <v>24121</v>
      </c>
      <c r="D10" s="328">
        <v>7264</v>
      </c>
      <c r="E10" s="328">
        <v>23698</v>
      </c>
      <c r="F10" s="328">
        <v>7</v>
      </c>
      <c r="G10" s="328">
        <v>22</v>
      </c>
      <c r="H10" s="330">
        <v>102</v>
      </c>
      <c r="I10" s="331">
        <v>401</v>
      </c>
    </row>
    <row r="11" spans="1:9" ht="12.75">
      <c r="A11" s="327" t="s">
        <v>29</v>
      </c>
      <c r="B11" s="328">
        <f t="shared" si="0"/>
        <v>4770</v>
      </c>
      <c r="C11" s="328">
        <f t="shared" si="0"/>
        <v>16651</v>
      </c>
      <c r="D11" s="328">
        <v>4645</v>
      </c>
      <c r="E11" s="328">
        <v>15925</v>
      </c>
      <c r="F11" s="328">
        <v>55</v>
      </c>
      <c r="G11" s="328">
        <v>236</v>
      </c>
      <c r="H11" s="330">
        <v>70</v>
      </c>
      <c r="I11" s="329">
        <v>490</v>
      </c>
    </row>
    <row r="12" spans="1:9" ht="12.75">
      <c r="A12" s="327" t="s">
        <v>30</v>
      </c>
      <c r="B12" s="328">
        <f t="shared" si="0"/>
        <v>1333</v>
      </c>
      <c r="C12" s="332">
        <f t="shared" si="0"/>
        <v>11737</v>
      </c>
      <c r="D12" s="328">
        <v>1264</v>
      </c>
      <c r="E12" s="332">
        <v>11285</v>
      </c>
      <c r="F12" s="328">
        <v>13</v>
      </c>
      <c r="G12" s="328">
        <v>27</v>
      </c>
      <c r="H12" s="330">
        <v>56</v>
      </c>
      <c r="I12" s="331">
        <v>425</v>
      </c>
    </row>
    <row r="13" spans="1:9" ht="12.75">
      <c r="A13" s="327" t="s">
        <v>31</v>
      </c>
      <c r="B13" s="328">
        <f t="shared" si="0"/>
        <v>667</v>
      </c>
      <c r="C13" s="328">
        <f t="shared" si="0"/>
        <v>3152</v>
      </c>
      <c r="D13" s="328">
        <v>585</v>
      </c>
      <c r="E13" s="328">
        <v>2316</v>
      </c>
      <c r="F13" s="328">
        <v>12</v>
      </c>
      <c r="G13" s="328">
        <v>48</v>
      </c>
      <c r="H13" s="328">
        <v>70</v>
      </c>
      <c r="I13" s="329">
        <v>788</v>
      </c>
    </row>
    <row r="14" spans="1:9" ht="12.75">
      <c r="A14" s="327" t="s">
        <v>32</v>
      </c>
      <c r="B14" s="328">
        <f t="shared" si="0"/>
        <v>1020</v>
      </c>
      <c r="C14" s="328">
        <f t="shared" si="0"/>
        <v>3191</v>
      </c>
      <c r="D14" s="328">
        <v>908</v>
      </c>
      <c r="E14" s="328">
        <v>2729</v>
      </c>
      <c r="F14" s="328">
        <v>39</v>
      </c>
      <c r="G14" s="328">
        <v>175</v>
      </c>
      <c r="H14" s="330">
        <v>73</v>
      </c>
      <c r="I14" s="331">
        <v>287</v>
      </c>
    </row>
    <row r="15" spans="1:9" ht="12.75">
      <c r="A15" s="327" t="s">
        <v>33</v>
      </c>
      <c r="B15" s="328">
        <f t="shared" si="0"/>
        <v>1991</v>
      </c>
      <c r="C15" s="328">
        <f t="shared" si="0"/>
        <v>14758</v>
      </c>
      <c r="D15" s="328">
        <v>1836</v>
      </c>
      <c r="E15" s="328">
        <v>13687</v>
      </c>
      <c r="F15" s="328">
        <v>67</v>
      </c>
      <c r="G15" s="328">
        <v>406</v>
      </c>
      <c r="H15" s="330">
        <v>88</v>
      </c>
      <c r="I15" s="331">
        <v>665</v>
      </c>
    </row>
    <row r="16" spans="1:9" ht="12.75">
      <c r="A16" s="327" t="s">
        <v>34</v>
      </c>
      <c r="B16" s="328">
        <f t="shared" si="0"/>
        <v>1757</v>
      </c>
      <c r="C16" s="328">
        <f t="shared" si="0"/>
        <v>4650</v>
      </c>
      <c r="D16" s="328">
        <v>1744</v>
      </c>
      <c r="E16" s="328">
        <v>4598</v>
      </c>
      <c r="F16" s="328">
        <v>12</v>
      </c>
      <c r="G16" s="328">
        <v>51</v>
      </c>
      <c r="H16" s="330">
        <v>1</v>
      </c>
      <c r="I16" s="331">
        <v>1</v>
      </c>
    </row>
    <row r="17" spans="1:9" ht="12.75">
      <c r="A17" s="327" t="s">
        <v>35</v>
      </c>
      <c r="B17" s="328">
        <f t="shared" si="0"/>
        <v>16607</v>
      </c>
      <c r="C17" s="328">
        <f t="shared" si="0"/>
        <v>41904</v>
      </c>
      <c r="D17" s="328">
        <v>15435</v>
      </c>
      <c r="E17" s="328">
        <v>38471</v>
      </c>
      <c r="F17" s="328">
        <v>259</v>
      </c>
      <c r="G17" s="328">
        <v>686</v>
      </c>
      <c r="H17" s="328">
        <v>913</v>
      </c>
      <c r="I17" s="329">
        <v>2747</v>
      </c>
    </row>
    <row r="18" spans="1:9" ht="12.75">
      <c r="A18" s="327" t="s">
        <v>36</v>
      </c>
      <c r="B18" s="328">
        <f t="shared" si="0"/>
        <v>1126</v>
      </c>
      <c r="C18" s="328">
        <f t="shared" si="0"/>
        <v>4789</v>
      </c>
      <c r="D18" s="328">
        <v>949</v>
      </c>
      <c r="E18" s="328">
        <v>3942</v>
      </c>
      <c r="F18" s="328">
        <v>35</v>
      </c>
      <c r="G18" s="328">
        <v>268</v>
      </c>
      <c r="H18" s="328">
        <v>142</v>
      </c>
      <c r="I18" s="329">
        <v>579</v>
      </c>
    </row>
    <row r="19" spans="1:9" ht="12.75">
      <c r="A19" s="327" t="s">
        <v>202</v>
      </c>
      <c r="B19" s="328">
        <f t="shared" si="0"/>
        <v>4422</v>
      </c>
      <c r="C19" s="328">
        <f t="shared" si="0"/>
        <v>11075</v>
      </c>
      <c r="D19" s="328">
        <v>3985</v>
      </c>
      <c r="E19" s="328">
        <v>9880</v>
      </c>
      <c r="F19" s="328">
        <v>104</v>
      </c>
      <c r="G19" s="328">
        <v>232</v>
      </c>
      <c r="H19" s="328">
        <v>333</v>
      </c>
      <c r="I19" s="329">
        <v>963</v>
      </c>
    </row>
    <row r="20" spans="1:9" ht="12.75">
      <c r="A20" s="327" t="s">
        <v>38</v>
      </c>
      <c r="B20" s="328">
        <f t="shared" si="0"/>
        <v>1751</v>
      </c>
      <c r="C20" s="328">
        <f t="shared" si="0"/>
        <v>6246</v>
      </c>
      <c r="D20" s="328">
        <v>1624</v>
      </c>
      <c r="E20" s="328">
        <v>5101</v>
      </c>
      <c r="F20" s="328">
        <v>69</v>
      </c>
      <c r="G20" s="328">
        <v>753</v>
      </c>
      <c r="H20" s="328">
        <v>58</v>
      </c>
      <c r="I20" s="329">
        <v>392</v>
      </c>
    </row>
    <row r="21" spans="1:9" ht="12.75">
      <c r="A21" s="327" t="s">
        <v>39</v>
      </c>
      <c r="B21" s="328">
        <f t="shared" si="0"/>
        <v>383</v>
      </c>
      <c r="C21" s="328">
        <f t="shared" si="0"/>
        <v>1488</v>
      </c>
      <c r="D21" s="328">
        <v>343</v>
      </c>
      <c r="E21" s="328">
        <v>1358</v>
      </c>
      <c r="F21" s="328">
        <v>18</v>
      </c>
      <c r="G21" s="328">
        <v>65</v>
      </c>
      <c r="H21" s="330">
        <v>22</v>
      </c>
      <c r="I21" s="331">
        <v>65</v>
      </c>
    </row>
    <row r="22" spans="1:9" ht="12.75">
      <c r="A22" s="327" t="s">
        <v>40</v>
      </c>
      <c r="B22" s="328">
        <f t="shared" si="0"/>
        <v>14415</v>
      </c>
      <c r="C22" s="328">
        <f t="shared" si="0"/>
        <v>28306</v>
      </c>
      <c r="D22" s="328">
        <v>13814</v>
      </c>
      <c r="E22" s="328">
        <v>26920</v>
      </c>
      <c r="F22" s="328">
        <v>81</v>
      </c>
      <c r="G22" s="328">
        <v>208</v>
      </c>
      <c r="H22" s="328">
        <v>520</v>
      </c>
      <c r="I22" s="329">
        <v>1178</v>
      </c>
    </row>
    <row r="23" spans="1:9" ht="12.75">
      <c r="A23" s="327" t="s">
        <v>41</v>
      </c>
      <c r="B23" s="328">
        <f t="shared" si="0"/>
        <v>19940</v>
      </c>
      <c r="C23" s="328">
        <f t="shared" si="0"/>
        <v>56275</v>
      </c>
      <c r="D23" s="328">
        <v>18683</v>
      </c>
      <c r="E23" s="328">
        <v>52236</v>
      </c>
      <c r="F23" s="328">
        <v>372</v>
      </c>
      <c r="G23" s="328">
        <v>1259</v>
      </c>
      <c r="H23" s="328">
        <v>885</v>
      </c>
      <c r="I23" s="329">
        <v>2780</v>
      </c>
    </row>
    <row r="24" spans="1:9" ht="12.75">
      <c r="A24" s="327" t="s">
        <v>42</v>
      </c>
      <c r="B24" s="328">
        <f t="shared" si="0"/>
        <v>1254</v>
      </c>
      <c r="C24" s="328">
        <f t="shared" si="0"/>
        <v>1952</v>
      </c>
      <c r="D24" s="328">
        <v>1145</v>
      </c>
      <c r="E24" s="328">
        <v>1741</v>
      </c>
      <c r="F24" s="328">
        <v>27</v>
      </c>
      <c r="G24" s="328">
        <v>61</v>
      </c>
      <c r="H24" s="330">
        <v>82</v>
      </c>
      <c r="I24" s="331">
        <v>150</v>
      </c>
    </row>
    <row r="25" spans="1:10" s="20" customFormat="1" ht="12.75">
      <c r="A25" s="294" t="s">
        <v>227</v>
      </c>
      <c r="B25" s="295">
        <v>1</v>
      </c>
      <c r="C25" s="295">
        <v>76</v>
      </c>
      <c r="D25" s="298" t="s">
        <v>142</v>
      </c>
      <c r="E25" s="298" t="s">
        <v>142</v>
      </c>
      <c r="F25" s="296">
        <v>1</v>
      </c>
      <c r="G25" s="289">
        <v>76</v>
      </c>
      <c r="H25" s="289" t="s">
        <v>142</v>
      </c>
      <c r="I25" s="297" t="s">
        <v>142</v>
      </c>
      <c r="J25" s="248"/>
    </row>
    <row r="26" spans="1:10" s="20" customFormat="1" ht="12.75">
      <c r="A26" s="294" t="s">
        <v>228</v>
      </c>
      <c r="B26" s="295">
        <v>3</v>
      </c>
      <c r="C26" s="295">
        <v>5</v>
      </c>
      <c r="D26" s="295">
        <v>2</v>
      </c>
      <c r="E26" s="295">
        <v>4</v>
      </c>
      <c r="F26" s="298">
        <v>1</v>
      </c>
      <c r="G26" s="289">
        <v>1</v>
      </c>
      <c r="H26" s="289" t="s">
        <v>142</v>
      </c>
      <c r="I26" s="297" t="s">
        <v>142</v>
      </c>
      <c r="J26" s="248"/>
    </row>
    <row r="27" spans="1:9" ht="12.75">
      <c r="A27" s="327"/>
      <c r="B27" s="332"/>
      <c r="C27" s="332"/>
      <c r="D27" s="332"/>
      <c r="E27" s="332"/>
      <c r="F27" s="332"/>
      <c r="G27" s="332"/>
      <c r="H27" s="332"/>
      <c r="I27" s="333"/>
    </row>
    <row r="28" spans="1:9" ht="13.5" thickBot="1">
      <c r="A28" s="334" t="s">
        <v>200</v>
      </c>
      <c r="B28" s="335">
        <f>SUM(B8:B27)</f>
        <v>121361</v>
      </c>
      <c r="C28" s="335">
        <f aca="true" t="shared" si="1" ref="C28:I28">SUM(C8:C27)</f>
        <v>312334</v>
      </c>
      <c r="D28" s="335">
        <f>SUM(D8:D27)</f>
        <v>116286</v>
      </c>
      <c r="E28" s="335">
        <f>SUM(E8:E27)</f>
        <v>293948</v>
      </c>
      <c r="F28" s="335">
        <f t="shared" si="1"/>
        <v>1335</v>
      </c>
      <c r="G28" s="335">
        <f t="shared" si="1"/>
        <v>5416</v>
      </c>
      <c r="H28" s="335">
        <f t="shared" si="1"/>
        <v>3740</v>
      </c>
      <c r="I28" s="336">
        <f t="shared" si="1"/>
        <v>12970</v>
      </c>
    </row>
    <row r="29" ht="12.75">
      <c r="A29" s="304" t="s">
        <v>230</v>
      </c>
    </row>
    <row r="30" spans="1:5" ht="12.75">
      <c r="A30" s="305" t="s">
        <v>268</v>
      </c>
      <c r="B30" s="305"/>
      <c r="E30" s="366"/>
    </row>
  </sheetData>
  <mergeCells count="7">
    <mergeCell ref="A1:I1"/>
    <mergeCell ref="D5:G5"/>
    <mergeCell ref="H5:I5"/>
    <mergeCell ref="D6:E6"/>
    <mergeCell ref="F6:G6"/>
    <mergeCell ref="A3:I3"/>
    <mergeCell ref="B5:C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1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8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37" customWidth="1"/>
    <col min="2" max="9" width="15.7109375" style="337" customWidth="1"/>
    <col min="10" max="16384" width="19.140625" style="8" customWidth="1"/>
  </cols>
  <sheetData>
    <row r="1" spans="1:9" ht="18">
      <c r="A1" s="457" t="s">
        <v>139</v>
      </c>
      <c r="B1" s="457"/>
      <c r="C1" s="457"/>
      <c r="D1" s="457"/>
      <c r="E1" s="457"/>
      <c r="F1" s="457"/>
      <c r="G1" s="457"/>
      <c r="H1" s="457"/>
      <c r="I1" s="457"/>
    </row>
    <row r="3" spans="1:9" ht="15">
      <c r="A3" s="469" t="s">
        <v>239</v>
      </c>
      <c r="B3" s="469"/>
      <c r="C3" s="469"/>
      <c r="D3" s="469"/>
      <c r="E3" s="469"/>
      <c r="F3" s="469"/>
      <c r="G3" s="469"/>
      <c r="H3" s="469"/>
      <c r="I3" s="469"/>
    </row>
    <row r="4" spans="1:9" ht="15">
      <c r="A4" s="469" t="s">
        <v>240</v>
      </c>
      <c r="B4" s="469"/>
      <c r="C4" s="469"/>
      <c r="D4" s="469"/>
      <c r="E4" s="469"/>
      <c r="F4" s="469"/>
      <c r="G4" s="469"/>
      <c r="H4" s="469"/>
      <c r="I4" s="469"/>
    </row>
    <row r="6" spans="1:9" ht="12.75">
      <c r="A6" s="277"/>
      <c r="B6" s="461" t="s">
        <v>154</v>
      </c>
      <c r="C6" s="462"/>
      <c r="D6" s="465" t="s">
        <v>19</v>
      </c>
      <c r="E6" s="466"/>
      <c r="F6" s="466"/>
      <c r="G6" s="467"/>
      <c r="H6" s="463" t="s">
        <v>66</v>
      </c>
      <c r="I6" s="464"/>
    </row>
    <row r="7" spans="1:9" ht="12.75">
      <c r="A7" s="278" t="s">
        <v>22</v>
      </c>
      <c r="B7" s="279"/>
      <c r="C7" s="280"/>
      <c r="D7" s="459" t="s">
        <v>67</v>
      </c>
      <c r="E7" s="460"/>
      <c r="F7" s="459" t="s">
        <v>25</v>
      </c>
      <c r="G7" s="460"/>
      <c r="H7" s="281"/>
      <c r="I7" s="282"/>
    </row>
    <row r="8" spans="1:9" ht="13.5" thickBot="1">
      <c r="A8" s="283"/>
      <c r="B8" s="284" t="s">
        <v>58</v>
      </c>
      <c r="C8" s="284" t="s">
        <v>153</v>
      </c>
      <c r="D8" s="285" t="s">
        <v>58</v>
      </c>
      <c r="E8" s="285" t="s">
        <v>153</v>
      </c>
      <c r="F8" s="285" t="s">
        <v>58</v>
      </c>
      <c r="G8" s="285" t="s">
        <v>153</v>
      </c>
      <c r="H8" s="285" t="s">
        <v>58</v>
      </c>
      <c r="I8" s="286" t="s">
        <v>153</v>
      </c>
    </row>
    <row r="9" spans="1:9" ht="12.75">
      <c r="A9" s="323" t="s">
        <v>26</v>
      </c>
      <c r="B9" s="324">
        <f>D9+F9+H9</f>
        <v>164125</v>
      </c>
      <c r="C9" s="324">
        <f>E9+G9+I9</f>
        <v>20143</v>
      </c>
      <c r="D9" s="324">
        <v>161781</v>
      </c>
      <c r="E9" s="324">
        <v>12042</v>
      </c>
      <c r="F9" s="324">
        <v>1888</v>
      </c>
      <c r="G9" s="324">
        <v>3815</v>
      </c>
      <c r="H9" s="324">
        <v>456</v>
      </c>
      <c r="I9" s="338">
        <v>4286</v>
      </c>
    </row>
    <row r="10" spans="1:9" ht="12.75">
      <c r="A10" s="327" t="s">
        <v>27</v>
      </c>
      <c r="B10" s="328">
        <f aca="true" t="shared" si="0" ref="B10:C25">D10+F10+H10</f>
        <v>25971</v>
      </c>
      <c r="C10" s="328">
        <f t="shared" si="0"/>
        <v>714</v>
      </c>
      <c r="D10" s="328">
        <v>25600</v>
      </c>
      <c r="E10" s="328">
        <v>600</v>
      </c>
      <c r="F10" s="328">
        <v>113</v>
      </c>
      <c r="G10" s="328">
        <v>69</v>
      </c>
      <c r="H10" s="328">
        <v>258</v>
      </c>
      <c r="I10" s="331">
        <v>45</v>
      </c>
    </row>
    <row r="11" spans="1:9" ht="12.75">
      <c r="A11" s="327" t="s">
        <v>28</v>
      </c>
      <c r="B11" s="328">
        <f t="shared" si="0"/>
        <v>7806</v>
      </c>
      <c r="C11" s="328">
        <f t="shared" si="0"/>
        <v>520</v>
      </c>
      <c r="D11" s="328">
        <v>7697</v>
      </c>
      <c r="E11" s="328">
        <v>492</v>
      </c>
      <c r="F11" s="328">
        <v>13</v>
      </c>
      <c r="G11" s="328">
        <v>4</v>
      </c>
      <c r="H11" s="328">
        <v>96</v>
      </c>
      <c r="I11" s="329">
        <v>24</v>
      </c>
    </row>
    <row r="12" spans="1:9" ht="12.75">
      <c r="A12" s="327" t="s">
        <v>29</v>
      </c>
      <c r="B12" s="328">
        <f t="shared" si="0"/>
        <v>12650</v>
      </c>
      <c r="C12" s="328">
        <f t="shared" si="0"/>
        <v>1868</v>
      </c>
      <c r="D12" s="328">
        <v>12498</v>
      </c>
      <c r="E12" s="328">
        <v>1592</v>
      </c>
      <c r="F12" s="328">
        <v>69</v>
      </c>
      <c r="G12" s="328">
        <v>191</v>
      </c>
      <c r="H12" s="328">
        <v>83</v>
      </c>
      <c r="I12" s="329">
        <v>85</v>
      </c>
    </row>
    <row r="13" spans="1:9" ht="12.75">
      <c r="A13" s="327" t="s">
        <v>30</v>
      </c>
      <c r="B13" s="328">
        <f t="shared" si="0"/>
        <v>2371</v>
      </c>
      <c r="C13" s="328">
        <f t="shared" si="0"/>
        <v>2913</v>
      </c>
      <c r="D13" s="328">
        <v>2282</v>
      </c>
      <c r="E13" s="328">
        <v>1534</v>
      </c>
      <c r="F13" s="328">
        <v>38</v>
      </c>
      <c r="G13" s="328">
        <v>1072</v>
      </c>
      <c r="H13" s="328">
        <v>51</v>
      </c>
      <c r="I13" s="329">
        <v>307</v>
      </c>
    </row>
    <row r="14" spans="1:9" ht="12.75">
      <c r="A14" s="327" t="s">
        <v>31</v>
      </c>
      <c r="B14" s="328">
        <f t="shared" si="0"/>
        <v>960</v>
      </c>
      <c r="C14" s="328">
        <f t="shared" si="0"/>
        <v>2403</v>
      </c>
      <c r="D14" s="328">
        <v>879</v>
      </c>
      <c r="E14" s="328">
        <v>1222</v>
      </c>
      <c r="F14" s="328">
        <v>22</v>
      </c>
      <c r="G14" s="328">
        <v>580</v>
      </c>
      <c r="H14" s="328">
        <v>59</v>
      </c>
      <c r="I14" s="329">
        <v>601</v>
      </c>
    </row>
    <row r="15" spans="1:9" ht="12.75">
      <c r="A15" s="327" t="s">
        <v>32</v>
      </c>
      <c r="B15" s="328">
        <f t="shared" si="0"/>
        <v>7310</v>
      </c>
      <c r="C15" s="328">
        <f t="shared" si="0"/>
        <v>20544</v>
      </c>
      <c r="D15" s="328">
        <v>6854</v>
      </c>
      <c r="E15" s="328">
        <v>10887</v>
      </c>
      <c r="F15" s="328">
        <v>217</v>
      </c>
      <c r="G15" s="328">
        <v>4299</v>
      </c>
      <c r="H15" s="328">
        <v>239</v>
      </c>
      <c r="I15" s="329">
        <v>5358</v>
      </c>
    </row>
    <row r="16" spans="1:9" ht="12.75">
      <c r="A16" s="327" t="s">
        <v>33</v>
      </c>
      <c r="B16" s="328">
        <f t="shared" si="0"/>
        <v>8670</v>
      </c>
      <c r="C16" s="328">
        <f t="shared" si="0"/>
        <v>51135</v>
      </c>
      <c r="D16" s="328">
        <v>8105</v>
      </c>
      <c r="E16" s="328">
        <v>35240</v>
      </c>
      <c r="F16" s="328">
        <v>285</v>
      </c>
      <c r="G16" s="328">
        <v>9987</v>
      </c>
      <c r="H16" s="328">
        <v>280</v>
      </c>
      <c r="I16" s="329">
        <v>5908</v>
      </c>
    </row>
    <row r="17" spans="1:9" ht="12.75">
      <c r="A17" s="327" t="s">
        <v>34</v>
      </c>
      <c r="B17" s="328">
        <f t="shared" si="0"/>
        <v>8323</v>
      </c>
      <c r="C17" s="328">
        <f t="shared" si="0"/>
        <v>1457</v>
      </c>
      <c r="D17" s="328">
        <v>8264</v>
      </c>
      <c r="E17" s="328">
        <v>1319</v>
      </c>
      <c r="F17" s="328">
        <v>53</v>
      </c>
      <c r="G17" s="328">
        <v>126</v>
      </c>
      <c r="H17" s="330">
        <v>6</v>
      </c>
      <c r="I17" s="331">
        <v>12</v>
      </c>
    </row>
    <row r="18" spans="1:12" ht="12.75">
      <c r="A18" s="327" t="s">
        <v>35</v>
      </c>
      <c r="B18" s="328">
        <f t="shared" si="0"/>
        <v>35078</v>
      </c>
      <c r="C18" s="328">
        <f t="shared" si="0"/>
        <v>16635</v>
      </c>
      <c r="D18" s="328">
        <v>33141</v>
      </c>
      <c r="E18" s="328">
        <v>7537</v>
      </c>
      <c r="F18" s="328">
        <v>807</v>
      </c>
      <c r="G18" s="328">
        <v>5692</v>
      </c>
      <c r="H18" s="328">
        <v>1130</v>
      </c>
      <c r="I18" s="329">
        <v>3406</v>
      </c>
      <c r="J18" s="272"/>
      <c r="K18" s="229"/>
      <c r="L18" s="229"/>
    </row>
    <row r="19" spans="1:12" ht="12.75">
      <c r="A19" s="327" t="s">
        <v>36</v>
      </c>
      <c r="B19" s="328">
        <f t="shared" si="0"/>
        <v>693</v>
      </c>
      <c r="C19" s="328">
        <f t="shared" si="0"/>
        <v>1721</v>
      </c>
      <c r="D19" s="328">
        <v>565</v>
      </c>
      <c r="E19" s="328">
        <v>1054</v>
      </c>
      <c r="F19" s="328">
        <v>48</v>
      </c>
      <c r="G19" s="328">
        <v>369</v>
      </c>
      <c r="H19" s="328">
        <v>80</v>
      </c>
      <c r="I19" s="329">
        <v>298</v>
      </c>
      <c r="J19" s="272"/>
      <c r="K19" s="271"/>
      <c r="L19" s="229"/>
    </row>
    <row r="20" spans="1:12" ht="12.75">
      <c r="A20" s="327" t="s">
        <v>202</v>
      </c>
      <c r="B20" s="328">
        <f t="shared" si="0"/>
        <v>9255</v>
      </c>
      <c r="C20" s="328">
        <f t="shared" si="0"/>
        <v>17402</v>
      </c>
      <c r="D20" s="328">
        <v>8567</v>
      </c>
      <c r="E20" s="328">
        <v>7717</v>
      </c>
      <c r="F20" s="328">
        <v>269</v>
      </c>
      <c r="G20" s="328">
        <v>3850</v>
      </c>
      <c r="H20" s="328">
        <v>419</v>
      </c>
      <c r="I20" s="331">
        <v>5835</v>
      </c>
      <c r="J20" s="272"/>
      <c r="K20" s="229"/>
      <c r="L20" s="229"/>
    </row>
    <row r="21" spans="1:12" ht="12.75">
      <c r="A21" s="327" t="s">
        <v>38</v>
      </c>
      <c r="B21" s="328">
        <f t="shared" si="0"/>
        <v>6276</v>
      </c>
      <c r="C21" s="328">
        <f t="shared" si="0"/>
        <v>14921</v>
      </c>
      <c r="D21" s="328">
        <v>5932</v>
      </c>
      <c r="E21" s="328">
        <v>9312</v>
      </c>
      <c r="F21" s="328">
        <v>215</v>
      </c>
      <c r="G21" s="328">
        <v>3224</v>
      </c>
      <c r="H21" s="328">
        <v>129</v>
      </c>
      <c r="I21" s="331">
        <v>2385</v>
      </c>
      <c r="J21" s="272"/>
      <c r="K21" s="271"/>
      <c r="L21" s="229"/>
    </row>
    <row r="22" spans="1:12" ht="12.75">
      <c r="A22" s="327" t="s">
        <v>39</v>
      </c>
      <c r="B22" s="328">
        <f t="shared" si="0"/>
        <v>1224</v>
      </c>
      <c r="C22" s="328">
        <f t="shared" si="0"/>
        <v>2812</v>
      </c>
      <c r="D22" s="328">
        <v>1127</v>
      </c>
      <c r="E22" s="328">
        <v>1729</v>
      </c>
      <c r="F22" s="328">
        <v>56</v>
      </c>
      <c r="G22" s="328">
        <v>774</v>
      </c>
      <c r="H22" s="330">
        <v>41</v>
      </c>
      <c r="I22" s="331">
        <v>309</v>
      </c>
      <c r="J22" s="272"/>
      <c r="K22" s="229"/>
      <c r="L22" s="229"/>
    </row>
    <row r="23" spans="1:9" ht="12.75">
      <c r="A23" s="327" t="s">
        <v>40</v>
      </c>
      <c r="B23" s="328">
        <f t="shared" si="0"/>
        <v>13566</v>
      </c>
      <c r="C23" s="328">
        <f t="shared" si="0"/>
        <v>3503</v>
      </c>
      <c r="D23" s="328">
        <v>12794</v>
      </c>
      <c r="E23" s="328">
        <v>2216</v>
      </c>
      <c r="F23" s="328">
        <v>151</v>
      </c>
      <c r="G23" s="328">
        <v>647</v>
      </c>
      <c r="H23" s="328">
        <v>621</v>
      </c>
      <c r="I23" s="329">
        <v>640</v>
      </c>
    </row>
    <row r="24" spans="1:9" ht="12.75">
      <c r="A24" s="327" t="s">
        <v>41</v>
      </c>
      <c r="B24" s="328">
        <f t="shared" si="0"/>
        <v>19995</v>
      </c>
      <c r="C24" s="328">
        <f t="shared" si="0"/>
        <v>21283</v>
      </c>
      <c r="D24" s="328">
        <v>18804</v>
      </c>
      <c r="E24" s="328">
        <v>13562</v>
      </c>
      <c r="F24" s="328">
        <v>488</v>
      </c>
      <c r="G24" s="328">
        <f>5402</f>
        <v>5402</v>
      </c>
      <c r="H24" s="328">
        <v>703</v>
      </c>
      <c r="I24" s="329">
        <v>2319</v>
      </c>
    </row>
    <row r="25" spans="1:9" ht="12.75">
      <c r="A25" s="327" t="s">
        <v>42</v>
      </c>
      <c r="B25" s="328">
        <f t="shared" si="0"/>
        <v>4737</v>
      </c>
      <c r="C25" s="328">
        <f t="shared" si="0"/>
        <v>2466</v>
      </c>
      <c r="D25" s="328">
        <v>4356</v>
      </c>
      <c r="E25" s="328">
        <v>841</v>
      </c>
      <c r="F25" s="328">
        <v>157</v>
      </c>
      <c r="G25" s="328">
        <v>998</v>
      </c>
      <c r="H25" s="328">
        <v>224</v>
      </c>
      <c r="I25" s="329">
        <v>627</v>
      </c>
    </row>
    <row r="26" spans="1:9" s="305" customFormat="1" ht="12.75">
      <c r="A26" s="294" t="s">
        <v>227</v>
      </c>
      <c r="B26" s="295">
        <v>4</v>
      </c>
      <c r="C26" s="295">
        <v>1</v>
      </c>
      <c r="D26" s="295">
        <v>4</v>
      </c>
      <c r="E26" s="295">
        <v>1</v>
      </c>
      <c r="F26" s="296" t="s">
        <v>142</v>
      </c>
      <c r="G26" s="296" t="s">
        <v>142</v>
      </c>
      <c r="H26" s="289" t="s">
        <v>142</v>
      </c>
      <c r="I26" s="297" t="s">
        <v>142</v>
      </c>
    </row>
    <row r="27" spans="1:9" s="305" customFormat="1" ht="12.75">
      <c r="A27" s="294" t="s">
        <v>228</v>
      </c>
      <c r="B27" s="295">
        <v>6</v>
      </c>
      <c r="C27" s="295">
        <v>1</v>
      </c>
      <c r="D27" s="295">
        <v>4</v>
      </c>
      <c r="E27" s="295">
        <v>1</v>
      </c>
      <c r="F27" s="298">
        <v>2</v>
      </c>
      <c r="G27" s="296" t="s">
        <v>142</v>
      </c>
      <c r="H27" s="289" t="s">
        <v>142</v>
      </c>
      <c r="I27" s="297" t="s">
        <v>142</v>
      </c>
    </row>
    <row r="28" spans="1:9" s="337" customFormat="1" ht="12.75">
      <c r="A28" s="327"/>
      <c r="B28" s="332"/>
      <c r="C28" s="332"/>
      <c r="D28" s="332"/>
      <c r="E28" s="332"/>
      <c r="F28" s="332"/>
      <c r="G28" s="332"/>
      <c r="H28" s="332"/>
      <c r="I28" s="333"/>
    </row>
    <row r="29" spans="1:9" ht="13.5" thickBot="1">
      <c r="A29" s="334" t="s">
        <v>200</v>
      </c>
      <c r="B29" s="335">
        <f>SUM(B9:B28)</f>
        <v>329020</v>
      </c>
      <c r="C29" s="335">
        <f aca="true" t="shared" si="1" ref="C29:I29">SUM(C9:C28)</f>
        <v>182442</v>
      </c>
      <c r="D29" s="335">
        <f t="shared" si="1"/>
        <v>319254</v>
      </c>
      <c r="E29" s="335">
        <f t="shared" si="1"/>
        <v>108898</v>
      </c>
      <c r="F29" s="335">
        <f t="shared" si="1"/>
        <v>4891</v>
      </c>
      <c r="G29" s="335">
        <f t="shared" si="1"/>
        <v>41099</v>
      </c>
      <c r="H29" s="335">
        <f t="shared" si="1"/>
        <v>4875</v>
      </c>
      <c r="I29" s="336">
        <f t="shared" si="1"/>
        <v>32445</v>
      </c>
    </row>
    <row r="30" ht="12.75">
      <c r="A30" s="304" t="s">
        <v>230</v>
      </c>
    </row>
    <row r="31" spans="1:2" ht="12.75">
      <c r="A31" s="305" t="s">
        <v>268</v>
      </c>
      <c r="B31" s="305"/>
    </row>
    <row r="38" ht="12.75">
      <c r="D38" s="339"/>
    </row>
  </sheetData>
  <mergeCells count="8">
    <mergeCell ref="A1:I1"/>
    <mergeCell ref="D7:E7"/>
    <mergeCell ref="F7:G7"/>
    <mergeCell ref="A3:I3"/>
    <mergeCell ref="B6:C6"/>
    <mergeCell ref="D6:G6"/>
    <mergeCell ref="H6:I6"/>
    <mergeCell ref="A4:I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1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0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52" customWidth="1"/>
    <col min="2" max="2" width="11.7109375" style="352" customWidth="1"/>
    <col min="3" max="6" width="13.7109375" style="352" customWidth="1"/>
    <col min="7" max="7" width="12.140625" style="352" customWidth="1"/>
    <col min="8" max="9" width="11.7109375" style="352" customWidth="1"/>
    <col min="10" max="16384" width="19.140625" style="7" customWidth="1"/>
  </cols>
  <sheetData>
    <row r="1" spans="1:9" ht="18">
      <c r="A1" s="457" t="s">
        <v>139</v>
      </c>
      <c r="B1" s="457"/>
      <c r="C1" s="457"/>
      <c r="D1" s="457"/>
      <c r="E1" s="457"/>
      <c r="F1" s="457"/>
      <c r="G1" s="457"/>
      <c r="H1" s="457"/>
      <c r="I1" s="457"/>
    </row>
    <row r="3" spans="1:9" ht="15">
      <c r="A3" s="470" t="s">
        <v>221</v>
      </c>
      <c r="B3" s="470"/>
      <c r="C3" s="470"/>
      <c r="D3" s="470"/>
      <c r="E3" s="470"/>
      <c r="F3" s="470"/>
      <c r="G3" s="470"/>
      <c r="H3" s="470"/>
      <c r="I3" s="470"/>
    </row>
    <row r="4" spans="1:9" ht="12.75">
      <c r="A4" s="471"/>
      <c r="B4" s="471"/>
      <c r="C4" s="471"/>
      <c r="D4" s="471"/>
      <c r="E4" s="471"/>
      <c r="F4" s="471"/>
      <c r="G4" s="471"/>
      <c r="H4" s="471"/>
      <c r="I4" s="471"/>
    </row>
    <row r="5" spans="1:9" ht="12.75">
      <c r="A5" s="277"/>
      <c r="B5" s="461" t="s">
        <v>154</v>
      </c>
      <c r="C5" s="462"/>
      <c r="D5" s="465" t="s">
        <v>19</v>
      </c>
      <c r="E5" s="466"/>
      <c r="F5" s="466"/>
      <c r="G5" s="467"/>
      <c r="H5" s="463" t="s">
        <v>66</v>
      </c>
      <c r="I5" s="464"/>
    </row>
    <row r="6" spans="1:9" ht="12.75">
      <c r="A6" s="278" t="s">
        <v>22</v>
      </c>
      <c r="B6" s="279"/>
      <c r="C6" s="280"/>
      <c r="D6" s="459" t="s">
        <v>67</v>
      </c>
      <c r="E6" s="460"/>
      <c r="F6" s="459" t="s">
        <v>25</v>
      </c>
      <c r="G6" s="460"/>
      <c r="H6" s="281"/>
      <c r="I6" s="282"/>
    </row>
    <row r="7" spans="1:9" ht="13.5" thickBot="1">
      <c r="A7" s="283"/>
      <c r="B7" s="284" t="s">
        <v>58</v>
      </c>
      <c r="C7" s="284" t="s">
        <v>153</v>
      </c>
      <c r="D7" s="285" t="s">
        <v>58</v>
      </c>
      <c r="E7" s="285" t="s">
        <v>153</v>
      </c>
      <c r="F7" s="285" t="s">
        <v>58</v>
      </c>
      <c r="G7" s="285" t="s">
        <v>153</v>
      </c>
      <c r="H7" s="285" t="s">
        <v>58</v>
      </c>
      <c r="I7" s="286" t="s">
        <v>153</v>
      </c>
    </row>
    <row r="8" spans="1:9" ht="12.75">
      <c r="A8" s="340" t="s">
        <v>26</v>
      </c>
      <c r="B8" s="341">
        <f>D8+F8+H8</f>
        <v>41734</v>
      </c>
      <c r="C8" s="341">
        <f>E8+G8+I8</f>
        <v>260588</v>
      </c>
      <c r="D8" s="341">
        <v>41312</v>
      </c>
      <c r="E8" s="341">
        <v>212340</v>
      </c>
      <c r="F8" s="341">
        <v>274</v>
      </c>
      <c r="G8" s="341">
        <v>23199</v>
      </c>
      <c r="H8" s="341">
        <v>148</v>
      </c>
      <c r="I8" s="342">
        <v>25049</v>
      </c>
    </row>
    <row r="9" spans="1:9" ht="12.75">
      <c r="A9" s="343" t="s">
        <v>27</v>
      </c>
      <c r="B9" s="344">
        <f aca="true" t="shared" si="0" ref="B9:C24">D9+F9+H9</f>
        <v>5814</v>
      </c>
      <c r="C9" s="344">
        <f t="shared" si="0"/>
        <v>41028</v>
      </c>
      <c r="D9" s="344">
        <v>5729</v>
      </c>
      <c r="E9" s="344">
        <v>34746</v>
      </c>
      <c r="F9" s="344">
        <v>23</v>
      </c>
      <c r="G9" s="344">
        <v>2559</v>
      </c>
      <c r="H9" s="345">
        <v>62</v>
      </c>
      <c r="I9" s="346">
        <v>3723</v>
      </c>
    </row>
    <row r="10" spans="1:9" ht="12.75">
      <c r="A10" s="343" t="s">
        <v>28</v>
      </c>
      <c r="B10" s="344">
        <f t="shared" si="0"/>
        <v>1391</v>
      </c>
      <c r="C10" s="344">
        <f t="shared" si="0"/>
        <v>21412</v>
      </c>
      <c r="D10" s="344">
        <v>1367</v>
      </c>
      <c r="E10" s="344">
        <v>16297</v>
      </c>
      <c r="F10" s="344">
        <v>4</v>
      </c>
      <c r="G10" s="344">
        <v>994</v>
      </c>
      <c r="H10" s="345">
        <v>20</v>
      </c>
      <c r="I10" s="346">
        <v>4121</v>
      </c>
    </row>
    <row r="11" spans="1:9" ht="12.75">
      <c r="A11" s="343" t="s">
        <v>29</v>
      </c>
      <c r="B11" s="344">
        <f t="shared" si="0"/>
        <v>4387</v>
      </c>
      <c r="C11" s="344">
        <f t="shared" si="0"/>
        <v>58515</v>
      </c>
      <c r="D11" s="344">
        <v>4330</v>
      </c>
      <c r="E11" s="344">
        <v>47481</v>
      </c>
      <c r="F11" s="344">
        <v>24</v>
      </c>
      <c r="G11" s="344">
        <v>10000</v>
      </c>
      <c r="H11" s="345">
        <v>33</v>
      </c>
      <c r="I11" s="346">
        <v>1034</v>
      </c>
    </row>
    <row r="12" spans="1:9" ht="12.75">
      <c r="A12" s="343" t="s">
        <v>30</v>
      </c>
      <c r="B12" s="344">
        <f t="shared" si="0"/>
        <v>425</v>
      </c>
      <c r="C12" s="344">
        <f t="shared" si="0"/>
        <v>27185</v>
      </c>
      <c r="D12" s="344">
        <v>394</v>
      </c>
      <c r="E12" s="344">
        <v>13438</v>
      </c>
      <c r="F12" s="344">
        <v>11</v>
      </c>
      <c r="G12" s="344">
        <v>8372</v>
      </c>
      <c r="H12" s="345">
        <v>20</v>
      </c>
      <c r="I12" s="346">
        <v>5375</v>
      </c>
    </row>
    <row r="13" spans="1:9" ht="12.75">
      <c r="A13" s="343" t="s">
        <v>31</v>
      </c>
      <c r="B13" s="344">
        <f t="shared" si="0"/>
        <v>234</v>
      </c>
      <c r="C13" s="344">
        <f t="shared" si="0"/>
        <v>19481</v>
      </c>
      <c r="D13" s="344">
        <v>198</v>
      </c>
      <c r="E13" s="344">
        <v>6989</v>
      </c>
      <c r="F13" s="344">
        <v>7</v>
      </c>
      <c r="G13" s="344">
        <v>2456</v>
      </c>
      <c r="H13" s="344">
        <v>29</v>
      </c>
      <c r="I13" s="347">
        <v>10036</v>
      </c>
    </row>
    <row r="14" spans="1:9" ht="12.75">
      <c r="A14" s="343" t="s">
        <v>32</v>
      </c>
      <c r="B14" s="344">
        <f t="shared" si="0"/>
        <v>3801</v>
      </c>
      <c r="C14" s="344">
        <f t="shared" si="0"/>
        <v>179599</v>
      </c>
      <c r="D14" s="344">
        <v>3532</v>
      </c>
      <c r="E14" s="344">
        <v>108914</v>
      </c>
      <c r="F14" s="344">
        <v>99</v>
      </c>
      <c r="G14" s="344">
        <v>30026</v>
      </c>
      <c r="H14" s="344">
        <v>170</v>
      </c>
      <c r="I14" s="347">
        <v>40659</v>
      </c>
    </row>
    <row r="15" spans="1:9" ht="12.75">
      <c r="A15" s="343" t="s">
        <v>33</v>
      </c>
      <c r="B15" s="344">
        <f t="shared" si="0"/>
        <v>5069</v>
      </c>
      <c r="C15" s="344">
        <f t="shared" si="0"/>
        <v>398402</v>
      </c>
      <c r="D15" s="344">
        <v>4728</v>
      </c>
      <c r="E15" s="344">
        <v>270069</v>
      </c>
      <c r="F15" s="344">
        <v>126</v>
      </c>
      <c r="G15" s="344">
        <v>53553</v>
      </c>
      <c r="H15" s="344">
        <v>215</v>
      </c>
      <c r="I15" s="347">
        <v>74780</v>
      </c>
    </row>
    <row r="16" spans="1:9" ht="12.75">
      <c r="A16" s="343" t="s">
        <v>34</v>
      </c>
      <c r="B16" s="344">
        <f t="shared" si="0"/>
        <v>1304</v>
      </c>
      <c r="C16" s="344">
        <f t="shared" si="0"/>
        <v>7000</v>
      </c>
      <c r="D16" s="344">
        <v>1298</v>
      </c>
      <c r="E16" s="344">
        <v>6987</v>
      </c>
      <c r="F16" s="344">
        <v>6</v>
      </c>
      <c r="G16" s="344">
        <v>13</v>
      </c>
      <c r="H16" s="345" t="s">
        <v>231</v>
      </c>
      <c r="I16" s="346" t="s">
        <v>231</v>
      </c>
    </row>
    <row r="17" spans="1:9" ht="12.75">
      <c r="A17" s="343" t="s">
        <v>35</v>
      </c>
      <c r="B17" s="344">
        <f t="shared" si="0"/>
        <v>6635</v>
      </c>
      <c r="C17" s="344">
        <f t="shared" si="0"/>
        <v>113927</v>
      </c>
      <c r="D17" s="348">
        <v>6216</v>
      </c>
      <c r="E17" s="344">
        <v>59092</v>
      </c>
      <c r="F17" s="344">
        <v>143</v>
      </c>
      <c r="G17" s="344">
        <v>21275</v>
      </c>
      <c r="H17" s="344">
        <v>276</v>
      </c>
      <c r="I17" s="347">
        <v>33560</v>
      </c>
    </row>
    <row r="18" spans="1:9" ht="12.75">
      <c r="A18" s="343" t="s">
        <v>36</v>
      </c>
      <c r="B18" s="344">
        <f t="shared" si="0"/>
        <v>73</v>
      </c>
      <c r="C18" s="344">
        <f t="shared" si="0"/>
        <v>897</v>
      </c>
      <c r="D18" s="344">
        <v>59</v>
      </c>
      <c r="E18" s="344">
        <v>542</v>
      </c>
      <c r="F18" s="344">
        <v>2</v>
      </c>
      <c r="G18" s="344">
        <v>250</v>
      </c>
      <c r="H18" s="344">
        <v>12</v>
      </c>
      <c r="I18" s="347">
        <v>105</v>
      </c>
    </row>
    <row r="19" spans="1:9" ht="12.75">
      <c r="A19" s="343" t="s">
        <v>202</v>
      </c>
      <c r="B19" s="344">
        <f t="shared" si="0"/>
        <v>1539</v>
      </c>
      <c r="C19" s="344">
        <f t="shared" si="0"/>
        <v>156506</v>
      </c>
      <c r="D19" s="344">
        <v>1356</v>
      </c>
      <c r="E19" s="344">
        <v>96067</v>
      </c>
      <c r="F19" s="344">
        <v>66</v>
      </c>
      <c r="G19" s="344">
        <v>27573</v>
      </c>
      <c r="H19" s="344">
        <v>117</v>
      </c>
      <c r="I19" s="347">
        <v>32866</v>
      </c>
    </row>
    <row r="20" spans="1:9" ht="12.75">
      <c r="A20" s="343" t="s">
        <v>38</v>
      </c>
      <c r="B20" s="344">
        <f t="shared" si="0"/>
        <v>3303</v>
      </c>
      <c r="C20" s="344">
        <f t="shared" si="0"/>
        <v>153497</v>
      </c>
      <c r="D20" s="344">
        <v>3133</v>
      </c>
      <c r="E20" s="344">
        <v>106542</v>
      </c>
      <c r="F20" s="344">
        <v>78</v>
      </c>
      <c r="G20" s="344">
        <v>18502</v>
      </c>
      <c r="H20" s="345">
        <v>92</v>
      </c>
      <c r="I20" s="346">
        <v>28453</v>
      </c>
    </row>
    <row r="21" spans="1:9" ht="12.75">
      <c r="A21" s="343" t="s">
        <v>39</v>
      </c>
      <c r="B21" s="344">
        <f t="shared" si="0"/>
        <v>610</v>
      </c>
      <c r="C21" s="344">
        <f t="shared" si="0"/>
        <v>20158</v>
      </c>
      <c r="D21" s="344">
        <v>569</v>
      </c>
      <c r="E21" s="344">
        <v>12822</v>
      </c>
      <c r="F21" s="344">
        <v>20</v>
      </c>
      <c r="G21" s="344">
        <v>3562</v>
      </c>
      <c r="H21" s="345">
        <v>21</v>
      </c>
      <c r="I21" s="346">
        <v>3774</v>
      </c>
    </row>
    <row r="22" spans="1:9" ht="12.75">
      <c r="A22" s="343" t="s">
        <v>40</v>
      </c>
      <c r="B22" s="344">
        <f t="shared" si="0"/>
        <v>497</v>
      </c>
      <c r="C22" s="344">
        <f t="shared" si="0"/>
        <v>12993</v>
      </c>
      <c r="D22" s="344">
        <v>460</v>
      </c>
      <c r="E22" s="344">
        <v>7233</v>
      </c>
      <c r="F22" s="344">
        <v>10</v>
      </c>
      <c r="G22" s="344">
        <v>5575</v>
      </c>
      <c r="H22" s="344">
        <v>27</v>
      </c>
      <c r="I22" s="347">
        <v>185</v>
      </c>
    </row>
    <row r="23" spans="1:9" ht="12.75">
      <c r="A23" s="343" t="s">
        <v>41</v>
      </c>
      <c r="B23" s="344">
        <f t="shared" si="0"/>
        <v>3149</v>
      </c>
      <c r="C23" s="344">
        <f t="shared" si="0"/>
        <v>47868</v>
      </c>
      <c r="D23" s="344">
        <v>3027</v>
      </c>
      <c r="E23" s="344">
        <v>32119</v>
      </c>
      <c r="F23" s="344">
        <v>35</v>
      </c>
      <c r="G23" s="344">
        <v>4510</v>
      </c>
      <c r="H23" s="345">
        <v>87</v>
      </c>
      <c r="I23" s="346">
        <v>11239</v>
      </c>
    </row>
    <row r="24" spans="1:9" ht="12.75">
      <c r="A24" s="343" t="s">
        <v>42</v>
      </c>
      <c r="B24" s="344">
        <f t="shared" si="0"/>
        <v>1654</v>
      </c>
      <c r="C24" s="344">
        <f t="shared" si="0"/>
        <v>30114</v>
      </c>
      <c r="D24" s="344">
        <v>1545</v>
      </c>
      <c r="E24" s="344">
        <v>24064</v>
      </c>
      <c r="F24" s="344">
        <v>29</v>
      </c>
      <c r="G24" s="344">
        <v>628</v>
      </c>
      <c r="H24" s="344">
        <v>80</v>
      </c>
      <c r="I24" s="347">
        <v>5422</v>
      </c>
    </row>
    <row r="25" spans="1:10" s="20" customFormat="1" ht="12.75">
      <c r="A25" s="294" t="s">
        <v>227</v>
      </c>
      <c r="B25" s="295">
        <v>1</v>
      </c>
      <c r="C25" s="295">
        <v>100</v>
      </c>
      <c r="D25" s="295">
        <v>1</v>
      </c>
      <c r="E25" s="349">
        <v>100</v>
      </c>
      <c r="F25" s="296" t="s">
        <v>142</v>
      </c>
      <c r="G25" s="289" t="s">
        <v>142</v>
      </c>
      <c r="H25" s="289" t="s">
        <v>142</v>
      </c>
      <c r="I25" s="297" t="s">
        <v>142</v>
      </c>
      <c r="J25" s="248"/>
    </row>
    <row r="26" spans="1:10" s="20" customFormat="1" ht="12.75">
      <c r="A26" s="294" t="s">
        <v>228</v>
      </c>
      <c r="B26" s="295">
        <v>1</v>
      </c>
      <c r="C26" s="295">
        <v>50</v>
      </c>
      <c r="D26" s="295">
        <v>1</v>
      </c>
      <c r="E26" s="349">
        <v>50</v>
      </c>
      <c r="F26" s="298" t="s">
        <v>142</v>
      </c>
      <c r="G26" s="289" t="s">
        <v>142</v>
      </c>
      <c r="H26" s="289" t="s">
        <v>142</v>
      </c>
      <c r="I26" s="297" t="s">
        <v>142</v>
      </c>
      <c r="J26" s="248"/>
    </row>
    <row r="27" spans="1:9" ht="12.75">
      <c r="A27" s="343"/>
      <c r="B27" s="348"/>
      <c r="C27" s="348"/>
      <c r="D27" s="348"/>
      <c r="E27" s="348"/>
      <c r="F27" s="348"/>
      <c r="G27" s="348"/>
      <c r="H27" s="348"/>
      <c r="I27" s="350"/>
    </row>
    <row r="28" spans="1:9" ht="13.5" thickBot="1">
      <c r="A28" s="351" t="s">
        <v>200</v>
      </c>
      <c r="B28" s="335">
        <f>SUM(B8:B27)</f>
        <v>81621</v>
      </c>
      <c r="C28" s="335">
        <f aca="true" t="shared" si="1" ref="C28:I28">SUM(C8:C27)</f>
        <v>1549320</v>
      </c>
      <c r="D28" s="335">
        <f t="shared" si="1"/>
        <v>79255</v>
      </c>
      <c r="E28" s="335">
        <f t="shared" si="1"/>
        <v>1055892</v>
      </c>
      <c r="F28" s="335">
        <f t="shared" si="1"/>
        <v>957</v>
      </c>
      <c r="G28" s="335">
        <f t="shared" si="1"/>
        <v>213047</v>
      </c>
      <c r="H28" s="335">
        <f t="shared" si="1"/>
        <v>1409</v>
      </c>
      <c r="I28" s="336">
        <f t="shared" si="1"/>
        <v>280381</v>
      </c>
    </row>
    <row r="29" ht="12.75">
      <c r="A29" s="304" t="s">
        <v>230</v>
      </c>
    </row>
    <row r="30" spans="1:2" ht="12.75">
      <c r="A30" s="305" t="s">
        <v>268</v>
      </c>
      <c r="B30" s="305"/>
    </row>
  </sheetData>
  <mergeCells count="8">
    <mergeCell ref="D6:E6"/>
    <mergeCell ref="F6:G6"/>
    <mergeCell ref="A3:I3"/>
    <mergeCell ref="A1:I1"/>
    <mergeCell ref="A4:I4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7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I30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33.7109375" style="7" customWidth="1"/>
    <col min="2" max="2" width="11.7109375" style="7" customWidth="1"/>
    <col min="3" max="6" width="13.7109375" style="7" customWidth="1"/>
    <col min="7" max="7" width="12.140625" style="7" customWidth="1"/>
    <col min="8" max="9" width="11.7109375" style="7" customWidth="1"/>
    <col min="10" max="16384" width="19.140625" style="7" customWidth="1"/>
  </cols>
  <sheetData>
    <row r="1" spans="1:9" ht="18">
      <c r="A1" s="426" t="s">
        <v>139</v>
      </c>
      <c r="B1" s="426"/>
      <c r="C1" s="426"/>
      <c r="D1" s="426"/>
      <c r="E1" s="426"/>
      <c r="F1" s="426"/>
      <c r="G1" s="426"/>
      <c r="H1" s="426"/>
      <c r="I1" s="121"/>
    </row>
    <row r="3" spans="1:9" ht="15">
      <c r="A3" s="474" t="s">
        <v>222</v>
      </c>
      <c r="B3" s="474"/>
      <c r="C3" s="474"/>
      <c r="D3" s="474"/>
      <c r="E3" s="474"/>
      <c r="F3" s="474"/>
      <c r="G3" s="474"/>
      <c r="H3" s="474"/>
      <c r="I3" s="195"/>
    </row>
    <row r="4" spans="1:7" ht="12.75">
      <c r="A4" s="75"/>
      <c r="B4" s="75"/>
      <c r="C4" s="75"/>
      <c r="D4" s="75"/>
      <c r="E4" s="75"/>
      <c r="F4" s="75"/>
      <c r="G4" s="75"/>
    </row>
    <row r="5" spans="1:9" ht="12.75">
      <c r="A5" s="475"/>
      <c r="B5" s="476"/>
      <c r="C5" s="483" t="s">
        <v>154</v>
      </c>
      <c r="D5" s="484"/>
      <c r="E5" s="400" t="s">
        <v>19</v>
      </c>
      <c r="F5" s="406"/>
      <c r="G5" s="400" t="s">
        <v>66</v>
      </c>
      <c r="H5" s="405"/>
      <c r="I5"/>
    </row>
    <row r="6" spans="1:9" ht="12.75">
      <c r="A6" s="477" t="s">
        <v>22</v>
      </c>
      <c r="B6" s="478"/>
      <c r="C6" s="158"/>
      <c r="D6" s="74"/>
      <c r="E6" s="400" t="s">
        <v>67</v>
      </c>
      <c r="F6" s="406"/>
      <c r="G6" s="162"/>
      <c r="H6" s="161"/>
      <c r="I6"/>
    </row>
    <row r="7" spans="1:9" ht="13.5" thickBot="1">
      <c r="A7" s="479"/>
      <c r="B7" s="480"/>
      <c r="C7" s="134" t="s">
        <v>58</v>
      </c>
      <c r="D7" s="134" t="s">
        <v>199</v>
      </c>
      <c r="E7" s="150" t="s">
        <v>58</v>
      </c>
      <c r="F7" s="150" t="s">
        <v>199</v>
      </c>
      <c r="G7" s="204" t="s">
        <v>58</v>
      </c>
      <c r="H7" s="205" t="s">
        <v>165</v>
      </c>
      <c r="I7"/>
    </row>
    <row r="8" spans="1:9" ht="12.75">
      <c r="A8" s="472" t="s">
        <v>26</v>
      </c>
      <c r="B8" s="473"/>
      <c r="C8" s="78">
        <f>E8+G8</f>
        <v>14240</v>
      </c>
      <c r="D8" s="78">
        <f>F8+H8</f>
        <v>77953</v>
      </c>
      <c r="E8" s="259">
        <v>14183</v>
      </c>
      <c r="F8" s="259">
        <v>75204</v>
      </c>
      <c r="G8" s="260">
        <v>57</v>
      </c>
      <c r="H8" s="261">
        <v>2749</v>
      </c>
      <c r="I8"/>
    </row>
    <row r="9" spans="1:9" ht="12.75">
      <c r="A9" s="472" t="s">
        <v>27</v>
      </c>
      <c r="B9" s="473"/>
      <c r="C9" s="78">
        <f aca="true" t="shared" si="0" ref="C9:C24">E9+G9</f>
        <v>3011</v>
      </c>
      <c r="D9" s="78">
        <f aca="true" t="shared" si="1" ref="D9:D24">F9+H9</f>
        <v>21467</v>
      </c>
      <c r="E9" s="259">
        <v>3002</v>
      </c>
      <c r="F9" s="259">
        <v>21226</v>
      </c>
      <c r="G9" s="262">
        <v>9</v>
      </c>
      <c r="H9" s="263">
        <v>241</v>
      </c>
      <c r="I9"/>
    </row>
    <row r="10" spans="1:9" ht="12.75">
      <c r="A10" s="472" t="s">
        <v>28</v>
      </c>
      <c r="B10" s="473"/>
      <c r="C10" s="78">
        <f t="shared" si="0"/>
        <v>389</v>
      </c>
      <c r="D10" s="78">
        <f t="shared" si="1"/>
        <v>4123</v>
      </c>
      <c r="E10" s="259">
        <v>361</v>
      </c>
      <c r="F10" s="259">
        <v>3199</v>
      </c>
      <c r="G10" s="260">
        <v>28</v>
      </c>
      <c r="H10" s="261">
        <v>924</v>
      </c>
      <c r="I10"/>
    </row>
    <row r="11" spans="1:9" ht="12.75">
      <c r="A11" s="472" t="s">
        <v>29</v>
      </c>
      <c r="B11" s="473"/>
      <c r="C11" s="78">
        <f t="shared" si="0"/>
        <v>408</v>
      </c>
      <c r="D11" s="78">
        <f t="shared" si="1"/>
        <v>5547</v>
      </c>
      <c r="E11" s="259">
        <v>401</v>
      </c>
      <c r="F11" s="259">
        <v>5267</v>
      </c>
      <c r="G11" s="260">
        <v>7</v>
      </c>
      <c r="H11" s="261">
        <v>280</v>
      </c>
      <c r="I11"/>
    </row>
    <row r="12" spans="1:9" ht="12.75">
      <c r="A12" s="472" t="s">
        <v>30</v>
      </c>
      <c r="B12" s="473"/>
      <c r="C12" s="78">
        <f t="shared" si="0"/>
        <v>95</v>
      </c>
      <c r="D12" s="78">
        <f t="shared" si="1"/>
        <v>2302</v>
      </c>
      <c r="E12" s="259">
        <v>90</v>
      </c>
      <c r="F12" s="259">
        <v>1622</v>
      </c>
      <c r="G12" s="260">
        <v>5</v>
      </c>
      <c r="H12" s="261">
        <v>680</v>
      </c>
      <c r="I12"/>
    </row>
    <row r="13" spans="1:9" ht="12.75">
      <c r="A13" s="472" t="s">
        <v>31</v>
      </c>
      <c r="B13" s="473"/>
      <c r="C13" s="78">
        <f t="shared" si="0"/>
        <v>75</v>
      </c>
      <c r="D13" s="78">
        <f t="shared" si="1"/>
        <v>7204</v>
      </c>
      <c r="E13" s="259">
        <v>60</v>
      </c>
      <c r="F13" s="259">
        <v>4349</v>
      </c>
      <c r="G13" s="260">
        <v>15</v>
      </c>
      <c r="H13" s="261">
        <v>2855</v>
      </c>
      <c r="I13"/>
    </row>
    <row r="14" spans="1:9" ht="12.75">
      <c r="A14" s="472" t="s">
        <v>32</v>
      </c>
      <c r="B14" s="473"/>
      <c r="C14" s="78">
        <f t="shared" si="0"/>
        <v>742</v>
      </c>
      <c r="D14" s="78">
        <f t="shared" si="1"/>
        <v>56784</v>
      </c>
      <c r="E14" s="259">
        <v>632</v>
      </c>
      <c r="F14" s="259">
        <v>42163</v>
      </c>
      <c r="G14" s="260">
        <v>110</v>
      </c>
      <c r="H14" s="261">
        <v>14621</v>
      </c>
      <c r="I14"/>
    </row>
    <row r="15" spans="1:9" ht="12.75">
      <c r="A15" s="472" t="s">
        <v>33</v>
      </c>
      <c r="B15" s="473"/>
      <c r="C15" s="78">
        <f t="shared" si="0"/>
        <v>600</v>
      </c>
      <c r="D15" s="78">
        <f t="shared" si="1"/>
        <v>43602</v>
      </c>
      <c r="E15" s="259">
        <v>493</v>
      </c>
      <c r="F15" s="259">
        <v>35379</v>
      </c>
      <c r="G15" s="260">
        <v>107</v>
      </c>
      <c r="H15" s="261">
        <v>8223</v>
      </c>
      <c r="I15"/>
    </row>
    <row r="16" spans="1:9" ht="12.75">
      <c r="A16" s="472" t="s">
        <v>34</v>
      </c>
      <c r="B16" s="473"/>
      <c r="C16" s="78">
        <f t="shared" si="0"/>
        <v>309</v>
      </c>
      <c r="D16" s="78">
        <f t="shared" si="1"/>
        <v>5282</v>
      </c>
      <c r="E16" s="259">
        <v>229</v>
      </c>
      <c r="F16" s="259">
        <v>3453</v>
      </c>
      <c r="G16" s="260">
        <v>80</v>
      </c>
      <c r="H16" s="261">
        <v>1829</v>
      </c>
      <c r="I16"/>
    </row>
    <row r="17" spans="1:9" ht="12.75">
      <c r="A17" s="472" t="s">
        <v>35</v>
      </c>
      <c r="B17" s="473"/>
      <c r="C17" s="78">
        <f t="shared" si="0"/>
        <v>1864</v>
      </c>
      <c r="D17" s="78">
        <f t="shared" si="1"/>
        <v>246573</v>
      </c>
      <c r="E17" s="259">
        <v>1593</v>
      </c>
      <c r="F17" s="259">
        <v>133364</v>
      </c>
      <c r="G17" s="260">
        <v>271</v>
      </c>
      <c r="H17" s="261">
        <v>113209</v>
      </c>
      <c r="I17"/>
    </row>
    <row r="18" spans="1:9" ht="12.75">
      <c r="A18" s="472" t="s">
        <v>36</v>
      </c>
      <c r="B18" s="473"/>
      <c r="C18" s="78">
        <f t="shared" si="0"/>
        <v>54</v>
      </c>
      <c r="D18" s="78">
        <f t="shared" si="1"/>
        <v>3265</v>
      </c>
      <c r="E18" s="259">
        <v>36</v>
      </c>
      <c r="F18" s="259">
        <v>1418</v>
      </c>
      <c r="G18" s="260">
        <v>18</v>
      </c>
      <c r="H18" s="261">
        <v>1847</v>
      </c>
      <c r="I18"/>
    </row>
    <row r="19" spans="1:9" ht="12.75">
      <c r="A19" s="472" t="s">
        <v>202</v>
      </c>
      <c r="B19" s="473"/>
      <c r="C19" s="78">
        <f t="shared" si="0"/>
        <v>1101</v>
      </c>
      <c r="D19" s="78">
        <f t="shared" si="1"/>
        <v>145699</v>
      </c>
      <c r="E19" s="259">
        <v>923</v>
      </c>
      <c r="F19" s="259">
        <v>97754</v>
      </c>
      <c r="G19" s="260">
        <v>178</v>
      </c>
      <c r="H19" s="261">
        <v>47945</v>
      </c>
      <c r="I19"/>
    </row>
    <row r="20" spans="1:9" ht="12.75">
      <c r="A20" s="472" t="s">
        <v>38</v>
      </c>
      <c r="B20" s="473"/>
      <c r="C20" s="78">
        <f t="shared" si="0"/>
        <v>905</v>
      </c>
      <c r="D20" s="78">
        <f t="shared" si="1"/>
        <v>226640</v>
      </c>
      <c r="E20" s="259">
        <v>659</v>
      </c>
      <c r="F20" s="259">
        <v>147092</v>
      </c>
      <c r="G20" s="260">
        <v>246</v>
      </c>
      <c r="H20" s="261">
        <v>79548</v>
      </c>
      <c r="I20"/>
    </row>
    <row r="21" spans="1:9" ht="12.75">
      <c r="A21" s="472" t="s">
        <v>39</v>
      </c>
      <c r="B21" s="473"/>
      <c r="C21" s="78">
        <f t="shared" si="0"/>
        <v>144</v>
      </c>
      <c r="D21" s="78">
        <f t="shared" si="1"/>
        <v>39972</v>
      </c>
      <c r="E21" s="259">
        <v>100</v>
      </c>
      <c r="F21" s="259">
        <v>21560</v>
      </c>
      <c r="G21" s="260">
        <v>44</v>
      </c>
      <c r="H21" s="261">
        <v>18412</v>
      </c>
      <c r="I21"/>
    </row>
    <row r="22" spans="1:9" ht="12.75">
      <c r="A22" s="472" t="s">
        <v>40</v>
      </c>
      <c r="B22" s="473"/>
      <c r="C22" s="78">
        <f t="shared" si="0"/>
        <v>728</v>
      </c>
      <c r="D22" s="78">
        <f t="shared" si="1"/>
        <v>315652</v>
      </c>
      <c r="E22" s="259">
        <v>523</v>
      </c>
      <c r="F22" s="259">
        <v>208466</v>
      </c>
      <c r="G22" s="260">
        <v>205</v>
      </c>
      <c r="H22" s="261">
        <v>107186</v>
      </c>
      <c r="I22"/>
    </row>
    <row r="23" spans="1:9" ht="12.75">
      <c r="A23" s="472" t="s">
        <v>41</v>
      </c>
      <c r="B23" s="473"/>
      <c r="C23" s="78">
        <f t="shared" si="0"/>
        <v>1761</v>
      </c>
      <c r="D23" s="78">
        <f t="shared" si="1"/>
        <v>211382</v>
      </c>
      <c r="E23" s="259">
        <v>1467</v>
      </c>
      <c r="F23" s="259">
        <v>110585</v>
      </c>
      <c r="G23" s="260">
        <v>294</v>
      </c>
      <c r="H23" s="263">
        <v>100797</v>
      </c>
      <c r="I23"/>
    </row>
    <row r="24" spans="1:9" ht="12.75">
      <c r="A24" s="472" t="s">
        <v>42</v>
      </c>
      <c r="B24" s="473"/>
      <c r="C24" s="78">
        <f t="shared" si="0"/>
        <v>588</v>
      </c>
      <c r="D24" s="78">
        <f t="shared" si="1"/>
        <v>12195</v>
      </c>
      <c r="E24" s="259">
        <v>509</v>
      </c>
      <c r="F24" s="259">
        <v>6285</v>
      </c>
      <c r="G24" s="260">
        <v>79</v>
      </c>
      <c r="H24" s="261">
        <v>5910</v>
      </c>
      <c r="I24"/>
    </row>
    <row r="25" spans="1:9" ht="12.75">
      <c r="A25" s="472" t="s">
        <v>227</v>
      </c>
      <c r="B25" s="473"/>
      <c r="C25" s="164" t="s">
        <v>142</v>
      </c>
      <c r="D25" s="164" t="s">
        <v>142</v>
      </c>
      <c r="E25" s="264" t="s">
        <v>142</v>
      </c>
      <c r="F25" s="264" t="s">
        <v>142</v>
      </c>
      <c r="G25" s="260" t="s">
        <v>142</v>
      </c>
      <c r="H25" s="261" t="s">
        <v>142</v>
      </c>
      <c r="I25"/>
    </row>
    <row r="26" spans="1:9" ht="12.75">
      <c r="A26" s="472" t="s">
        <v>228</v>
      </c>
      <c r="B26" s="473"/>
      <c r="C26" s="164" t="s">
        <v>142</v>
      </c>
      <c r="D26" s="164" t="s">
        <v>142</v>
      </c>
      <c r="E26" s="264" t="s">
        <v>142</v>
      </c>
      <c r="F26" s="264" t="s">
        <v>142</v>
      </c>
      <c r="G26" s="260" t="s">
        <v>142</v>
      </c>
      <c r="H26" s="261" t="s">
        <v>142</v>
      </c>
      <c r="I26"/>
    </row>
    <row r="27" spans="1:9" ht="12.75">
      <c r="A27" s="472"/>
      <c r="B27" s="473"/>
      <c r="C27" s="79"/>
      <c r="D27" s="79"/>
      <c r="E27" s="262"/>
      <c r="F27" s="262"/>
      <c r="G27" s="262"/>
      <c r="H27" s="263"/>
      <c r="I27"/>
    </row>
    <row r="28" spans="1:9" ht="13.5" thickBot="1">
      <c r="A28" s="481" t="s">
        <v>200</v>
      </c>
      <c r="B28" s="482"/>
      <c r="C28" s="160">
        <f aca="true" t="shared" si="2" ref="C28:H28">SUM(C8:C27)</f>
        <v>27014</v>
      </c>
      <c r="D28" s="160">
        <f t="shared" si="2"/>
        <v>1425642</v>
      </c>
      <c r="E28" s="265">
        <f t="shared" si="2"/>
        <v>25261</v>
      </c>
      <c r="F28" s="265">
        <f t="shared" si="2"/>
        <v>918386</v>
      </c>
      <c r="G28" s="266">
        <f t="shared" si="2"/>
        <v>1753</v>
      </c>
      <c r="H28" s="267">
        <f t="shared" si="2"/>
        <v>507256</v>
      </c>
      <c r="I28"/>
    </row>
    <row r="29" ht="12.75">
      <c r="A29" s="17" t="s">
        <v>230</v>
      </c>
    </row>
    <row r="30" spans="1:2" ht="12.75">
      <c r="A30" s="305" t="s">
        <v>268</v>
      </c>
      <c r="B30" s="305"/>
    </row>
  </sheetData>
  <mergeCells count="30">
    <mergeCell ref="A25:B25"/>
    <mergeCell ref="A26:B26"/>
    <mergeCell ref="A28:B28"/>
    <mergeCell ref="C5:D5"/>
    <mergeCell ref="A27:B27"/>
    <mergeCell ref="A22:B22"/>
    <mergeCell ref="A15:B15"/>
    <mergeCell ref="A16:B16"/>
    <mergeCell ref="A17:B17"/>
    <mergeCell ref="A18:B18"/>
    <mergeCell ref="A23:B23"/>
    <mergeCell ref="A24:B24"/>
    <mergeCell ref="A5:B5"/>
    <mergeCell ref="A6:B6"/>
    <mergeCell ref="A7:B7"/>
    <mergeCell ref="A19:B19"/>
    <mergeCell ref="A20:B20"/>
    <mergeCell ref="A21:B21"/>
    <mergeCell ref="A14:B14"/>
    <mergeCell ref="A8:B8"/>
    <mergeCell ref="A12:B12"/>
    <mergeCell ref="A13:B13"/>
    <mergeCell ref="A1:H1"/>
    <mergeCell ref="E5:F5"/>
    <mergeCell ref="G5:H5"/>
    <mergeCell ref="E6:F6"/>
    <mergeCell ref="A9:B9"/>
    <mergeCell ref="A10:B10"/>
    <mergeCell ref="A11:B11"/>
    <mergeCell ref="A3:H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7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I29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6" customWidth="1"/>
    <col min="2" max="8" width="15.7109375" style="6" customWidth="1"/>
    <col min="9" max="9" width="16.421875" style="6" customWidth="1"/>
    <col min="10" max="10" width="2.28125" style="6" customWidth="1"/>
    <col min="11" max="16384" width="19.140625" style="6" customWidth="1"/>
  </cols>
  <sheetData>
    <row r="1" spans="1:9" ht="18">
      <c r="A1" s="426" t="s">
        <v>139</v>
      </c>
      <c r="B1" s="426"/>
      <c r="C1" s="426"/>
      <c r="D1" s="426"/>
      <c r="E1" s="426"/>
      <c r="F1" s="426"/>
      <c r="G1" s="426"/>
      <c r="H1" s="426"/>
      <c r="I1" s="42"/>
    </row>
    <row r="2" spans="1:9" ht="18">
      <c r="A2" s="121"/>
      <c r="B2" s="121"/>
      <c r="C2" s="121"/>
      <c r="D2" s="121"/>
      <c r="E2" s="121"/>
      <c r="F2" s="121"/>
      <c r="G2" s="121"/>
      <c r="H2" s="121"/>
      <c r="I2" s="42"/>
    </row>
    <row r="3" spans="1:8" ht="15">
      <c r="A3" s="487" t="s">
        <v>251</v>
      </c>
      <c r="B3" s="487"/>
      <c r="C3" s="487"/>
      <c r="D3" s="487"/>
      <c r="E3" s="487"/>
      <c r="F3" s="487"/>
      <c r="G3" s="487"/>
      <c r="H3" s="487"/>
    </row>
    <row r="4" spans="1:8" ht="12.75">
      <c r="A4" s="76"/>
      <c r="B4" s="76"/>
      <c r="C4" s="76"/>
      <c r="D4" s="76"/>
      <c r="E4" s="76"/>
      <c r="F4" s="76"/>
      <c r="G4" s="76"/>
      <c r="H4" s="76"/>
    </row>
    <row r="5" spans="1:8" ht="12.75">
      <c r="A5" s="80"/>
      <c r="B5" s="81" t="s">
        <v>68</v>
      </c>
      <c r="C5" s="485" t="s">
        <v>252</v>
      </c>
      <c r="D5" s="486"/>
      <c r="E5" s="486"/>
      <c r="F5" s="486"/>
      <c r="G5" s="486"/>
      <c r="H5" s="486"/>
    </row>
    <row r="6" spans="1:8" ht="12.75">
      <c r="A6" s="82" t="s">
        <v>22</v>
      </c>
      <c r="B6" s="83" t="s">
        <v>164</v>
      </c>
      <c r="C6" s="84"/>
      <c r="D6" s="84"/>
      <c r="E6" s="84"/>
      <c r="F6" s="84"/>
      <c r="G6" s="84"/>
      <c r="H6" s="85"/>
    </row>
    <row r="7" spans="1:8" ht="13.5" thickBot="1">
      <c r="A7" s="165"/>
      <c r="B7" s="166" t="s">
        <v>69</v>
      </c>
      <c r="C7" s="166" t="s">
        <v>70</v>
      </c>
      <c r="D7" s="166" t="s">
        <v>71</v>
      </c>
      <c r="E7" s="166" t="s">
        <v>72</v>
      </c>
      <c r="F7" s="166" t="s">
        <v>73</v>
      </c>
      <c r="G7" s="166" t="s">
        <v>74</v>
      </c>
      <c r="H7" s="167" t="s">
        <v>75</v>
      </c>
    </row>
    <row r="8" spans="1:8" ht="12.75">
      <c r="A8" s="86" t="s">
        <v>26</v>
      </c>
      <c r="B8" s="87">
        <v>622443</v>
      </c>
      <c r="C8" s="87">
        <v>95968</v>
      </c>
      <c r="D8" s="87">
        <v>116729</v>
      </c>
      <c r="E8" s="87">
        <v>132901</v>
      </c>
      <c r="F8" s="87">
        <v>186973</v>
      </c>
      <c r="G8" s="87">
        <v>42075</v>
      </c>
      <c r="H8" s="88">
        <v>47798</v>
      </c>
    </row>
    <row r="9" spans="1:8" ht="12.75">
      <c r="A9" s="86" t="s">
        <v>27</v>
      </c>
      <c r="B9" s="87">
        <v>177460</v>
      </c>
      <c r="C9" s="87">
        <v>16589</v>
      </c>
      <c r="D9" s="87">
        <v>36169</v>
      </c>
      <c r="E9" s="87">
        <v>43984</v>
      </c>
      <c r="F9" s="87">
        <v>62624</v>
      </c>
      <c r="G9" s="87">
        <v>8267</v>
      </c>
      <c r="H9" s="88">
        <v>9829</v>
      </c>
    </row>
    <row r="10" spans="1:8" ht="12.75">
      <c r="A10" s="86" t="s">
        <v>28</v>
      </c>
      <c r="B10" s="87">
        <v>100606</v>
      </c>
      <c r="C10" s="87">
        <v>5234</v>
      </c>
      <c r="D10" s="87">
        <v>11987</v>
      </c>
      <c r="E10" s="87">
        <v>23614</v>
      </c>
      <c r="F10" s="87">
        <v>45365</v>
      </c>
      <c r="G10" s="87">
        <v>7737</v>
      </c>
      <c r="H10" s="88">
        <v>6669</v>
      </c>
    </row>
    <row r="11" spans="1:8" ht="12.75">
      <c r="A11" s="86" t="s">
        <v>29</v>
      </c>
      <c r="B11" s="87">
        <v>148221</v>
      </c>
      <c r="C11" s="87">
        <v>12477</v>
      </c>
      <c r="D11" s="87">
        <v>20382</v>
      </c>
      <c r="E11" s="87">
        <v>19594</v>
      </c>
      <c r="F11" s="87">
        <v>56518</v>
      </c>
      <c r="G11" s="87">
        <v>28284</v>
      </c>
      <c r="H11" s="88">
        <v>10967</v>
      </c>
    </row>
    <row r="12" spans="1:8" ht="12.75">
      <c r="A12" s="86" t="s">
        <v>30</v>
      </c>
      <c r="B12" s="87">
        <v>324285</v>
      </c>
      <c r="C12" s="87">
        <v>7048</v>
      </c>
      <c r="D12" s="87">
        <v>20236</v>
      </c>
      <c r="E12" s="87">
        <v>30291</v>
      </c>
      <c r="F12" s="87">
        <v>98025</v>
      </c>
      <c r="G12" s="87">
        <v>85369</v>
      </c>
      <c r="H12" s="88">
        <v>83316</v>
      </c>
    </row>
    <row r="13" spans="1:8" ht="12.75">
      <c r="A13" s="86" t="s">
        <v>31</v>
      </c>
      <c r="B13" s="87">
        <v>223127</v>
      </c>
      <c r="C13" s="87">
        <v>4686</v>
      </c>
      <c r="D13" s="87">
        <v>14773</v>
      </c>
      <c r="E13" s="87">
        <v>22444</v>
      </c>
      <c r="F13" s="87">
        <v>86379</v>
      </c>
      <c r="G13" s="87">
        <v>57247</v>
      </c>
      <c r="H13" s="88">
        <v>37599</v>
      </c>
    </row>
    <row r="14" spans="1:8" ht="12.75">
      <c r="A14" s="86" t="s">
        <v>32</v>
      </c>
      <c r="B14" s="87">
        <v>1038839</v>
      </c>
      <c r="C14" s="87">
        <v>21206</v>
      </c>
      <c r="D14" s="87">
        <v>63203</v>
      </c>
      <c r="E14" s="87">
        <v>98712</v>
      </c>
      <c r="F14" s="87">
        <v>327991</v>
      </c>
      <c r="G14" s="87">
        <v>231573</v>
      </c>
      <c r="H14" s="88">
        <v>296153</v>
      </c>
    </row>
    <row r="15" spans="1:8" ht="12.75">
      <c r="A15" s="86" t="s">
        <v>33</v>
      </c>
      <c r="B15" s="87">
        <v>1110062</v>
      </c>
      <c r="C15" s="87">
        <v>20148</v>
      </c>
      <c r="D15" s="87">
        <v>64995</v>
      </c>
      <c r="E15" s="87">
        <v>98212</v>
      </c>
      <c r="F15" s="87">
        <v>357493</v>
      </c>
      <c r="G15" s="87">
        <v>314710</v>
      </c>
      <c r="H15" s="88">
        <v>254505</v>
      </c>
    </row>
    <row r="16" spans="1:8" ht="12.75">
      <c r="A16" s="86" t="s">
        <v>34</v>
      </c>
      <c r="B16" s="87">
        <v>124328</v>
      </c>
      <c r="C16" s="87">
        <v>7685</v>
      </c>
      <c r="D16" s="87">
        <v>14751</v>
      </c>
      <c r="E16" s="87">
        <v>14927</v>
      </c>
      <c r="F16" s="87">
        <v>39855</v>
      </c>
      <c r="G16" s="87">
        <v>25192</v>
      </c>
      <c r="H16" s="88">
        <v>21919</v>
      </c>
    </row>
    <row r="17" spans="1:8" ht="12.75">
      <c r="A17" s="86" t="s">
        <v>35</v>
      </c>
      <c r="B17" s="87">
        <v>2009867</v>
      </c>
      <c r="C17" s="87">
        <v>42081</v>
      </c>
      <c r="D17" s="87">
        <v>101406</v>
      </c>
      <c r="E17" s="87">
        <v>181949</v>
      </c>
      <c r="F17" s="87">
        <v>799340</v>
      </c>
      <c r="G17" s="87">
        <v>520726</v>
      </c>
      <c r="H17" s="88">
        <v>364365</v>
      </c>
    </row>
    <row r="18" spans="1:8" ht="12.75">
      <c r="A18" s="86" t="s">
        <v>36</v>
      </c>
      <c r="B18" s="87">
        <v>128437</v>
      </c>
      <c r="C18" s="87">
        <v>6129</v>
      </c>
      <c r="D18" s="87">
        <v>11704</v>
      </c>
      <c r="E18" s="87">
        <v>13198</v>
      </c>
      <c r="F18" s="87">
        <v>38427</v>
      </c>
      <c r="G18" s="87">
        <v>27905</v>
      </c>
      <c r="H18" s="88">
        <v>31074</v>
      </c>
    </row>
    <row r="19" spans="1:8" ht="12.75">
      <c r="A19" s="86" t="s">
        <v>37</v>
      </c>
      <c r="B19" s="87">
        <v>1674968</v>
      </c>
      <c r="C19" s="87">
        <v>71979</v>
      </c>
      <c r="D19" s="87">
        <v>153718</v>
      </c>
      <c r="E19" s="87">
        <v>174426</v>
      </c>
      <c r="F19" s="87">
        <v>516447</v>
      </c>
      <c r="G19" s="87">
        <v>343361</v>
      </c>
      <c r="H19" s="88">
        <v>415037</v>
      </c>
    </row>
    <row r="20" spans="1:8" ht="12.75">
      <c r="A20" s="86" t="s">
        <v>38</v>
      </c>
      <c r="B20" s="87">
        <v>1243210</v>
      </c>
      <c r="C20" s="87">
        <v>94775</v>
      </c>
      <c r="D20" s="87">
        <v>222954</v>
      </c>
      <c r="E20" s="87">
        <v>208209</v>
      </c>
      <c r="F20" s="87">
        <v>331007</v>
      </c>
      <c r="G20" s="87">
        <v>162824</v>
      </c>
      <c r="H20" s="88">
        <v>223441</v>
      </c>
    </row>
    <row r="21" spans="1:8" ht="12.75">
      <c r="A21" s="86" t="s">
        <v>39</v>
      </c>
      <c r="B21" s="87">
        <v>766947</v>
      </c>
      <c r="C21" s="87">
        <v>21972</v>
      </c>
      <c r="D21" s="87">
        <v>47746</v>
      </c>
      <c r="E21" s="87">
        <v>52680</v>
      </c>
      <c r="F21" s="87">
        <v>136734</v>
      </c>
      <c r="G21" s="87">
        <v>127849</v>
      </c>
      <c r="H21" s="88">
        <v>379964</v>
      </c>
    </row>
    <row r="22" spans="1:8" ht="12.75">
      <c r="A22" s="86" t="s">
        <v>40</v>
      </c>
      <c r="B22" s="87">
        <v>966165</v>
      </c>
      <c r="C22" s="87">
        <v>42210</v>
      </c>
      <c r="D22" s="87">
        <v>65645</v>
      </c>
      <c r="E22" s="87">
        <v>78280</v>
      </c>
      <c r="F22" s="87">
        <v>300881</v>
      </c>
      <c r="G22" s="87">
        <v>227740</v>
      </c>
      <c r="H22" s="88">
        <v>251408</v>
      </c>
    </row>
    <row r="23" spans="1:8" ht="12.75">
      <c r="A23" s="86" t="s">
        <v>41</v>
      </c>
      <c r="B23" s="87">
        <v>4622126</v>
      </c>
      <c r="C23" s="87">
        <v>110609</v>
      </c>
      <c r="D23" s="87">
        <v>389545</v>
      </c>
      <c r="E23" s="87">
        <v>514826</v>
      </c>
      <c r="F23" s="87">
        <v>1229726</v>
      </c>
      <c r="G23" s="87">
        <v>867023</v>
      </c>
      <c r="H23" s="88">
        <v>1510397</v>
      </c>
    </row>
    <row r="24" spans="1:8" ht="12.75">
      <c r="A24" s="86" t="s">
        <v>42</v>
      </c>
      <c r="B24" s="87">
        <v>258041</v>
      </c>
      <c r="C24" s="87">
        <v>14353</v>
      </c>
      <c r="D24" s="87">
        <v>28470</v>
      </c>
      <c r="E24" s="87">
        <v>28544</v>
      </c>
      <c r="F24" s="87">
        <v>59420</v>
      </c>
      <c r="G24" s="87">
        <v>40531</v>
      </c>
      <c r="H24" s="88">
        <v>86723</v>
      </c>
    </row>
    <row r="25" spans="1:9" s="7" customFormat="1" ht="12.75">
      <c r="A25" s="87" t="s">
        <v>236</v>
      </c>
      <c r="B25" s="87">
        <v>77</v>
      </c>
      <c r="C25" s="164" t="s">
        <v>142</v>
      </c>
      <c r="D25" s="78">
        <v>32</v>
      </c>
      <c r="E25" s="78">
        <v>13</v>
      </c>
      <c r="F25" s="78">
        <v>31</v>
      </c>
      <c r="G25" s="163" t="s">
        <v>142</v>
      </c>
      <c r="H25" s="7">
        <v>2</v>
      </c>
      <c r="I25"/>
    </row>
    <row r="26" spans="1:8" ht="12.75">
      <c r="A26" s="86"/>
      <c r="B26" s="89"/>
      <c r="C26" s="89"/>
      <c r="D26" s="89"/>
      <c r="E26" s="89"/>
      <c r="F26" s="89"/>
      <c r="G26" s="89"/>
      <c r="H26" s="90"/>
    </row>
    <row r="27" spans="1:8" ht="13.5" thickBot="1">
      <c r="A27" s="168" t="s">
        <v>200</v>
      </c>
      <c r="B27" s="169">
        <f aca="true" t="shared" si="0" ref="B27:H27">SUM(B8:B26)</f>
        <v>15539209</v>
      </c>
      <c r="C27" s="169">
        <f t="shared" si="0"/>
        <v>595149</v>
      </c>
      <c r="D27" s="169">
        <f t="shared" si="0"/>
        <v>1384445</v>
      </c>
      <c r="E27" s="169">
        <f t="shared" si="0"/>
        <v>1736804</v>
      </c>
      <c r="F27" s="169">
        <f t="shared" si="0"/>
        <v>4673236</v>
      </c>
      <c r="G27" s="169">
        <f t="shared" si="0"/>
        <v>3118413</v>
      </c>
      <c r="H27" s="170">
        <f t="shared" si="0"/>
        <v>4031166</v>
      </c>
    </row>
    <row r="28" ht="12.75">
      <c r="A28" s="17" t="s">
        <v>230</v>
      </c>
    </row>
    <row r="29" ht="12.75">
      <c r="A29" s="6" t="s">
        <v>263</v>
      </c>
    </row>
  </sheetData>
  <mergeCells count="3">
    <mergeCell ref="A1:H1"/>
    <mergeCell ref="C5:H5"/>
    <mergeCell ref="A3:H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1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I29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6" customWidth="1"/>
    <col min="2" max="8" width="15.7109375" style="6" customWidth="1"/>
    <col min="9" max="9" width="16.421875" style="6" customWidth="1"/>
    <col min="10" max="10" width="2.28125" style="6" customWidth="1"/>
    <col min="11" max="16384" width="19.140625" style="6" customWidth="1"/>
  </cols>
  <sheetData>
    <row r="1" spans="1:9" ht="18">
      <c r="A1" s="426" t="s">
        <v>139</v>
      </c>
      <c r="B1" s="426"/>
      <c r="C1" s="426"/>
      <c r="D1" s="426"/>
      <c r="E1" s="426"/>
      <c r="F1" s="426"/>
      <c r="G1" s="426"/>
      <c r="H1" s="426"/>
      <c r="I1" s="42"/>
    </row>
    <row r="3" spans="1:8" ht="15">
      <c r="A3" s="487" t="s">
        <v>253</v>
      </c>
      <c r="B3" s="487"/>
      <c r="C3" s="487"/>
      <c r="D3" s="487"/>
      <c r="E3" s="487"/>
      <c r="F3" s="487"/>
      <c r="G3" s="487"/>
      <c r="H3" s="487"/>
    </row>
    <row r="4" spans="1:8" ht="12.75">
      <c r="A4" s="76"/>
      <c r="B4" s="76"/>
      <c r="C4" s="76"/>
      <c r="D4" s="76"/>
      <c r="E4" s="76"/>
      <c r="F4" s="76"/>
      <c r="G4" s="76"/>
      <c r="H4" s="76"/>
    </row>
    <row r="5" spans="1:8" ht="12.75">
      <c r="A5" s="80"/>
      <c r="B5" s="81" t="s">
        <v>76</v>
      </c>
      <c r="C5" s="400" t="s">
        <v>254</v>
      </c>
      <c r="D5" s="405"/>
      <c r="E5" s="405"/>
      <c r="F5" s="405"/>
      <c r="G5" s="405"/>
      <c r="H5" s="405"/>
    </row>
    <row r="6" spans="1:8" ht="12.75">
      <c r="A6" s="82" t="s">
        <v>22</v>
      </c>
      <c r="B6" s="83" t="s">
        <v>77</v>
      </c>
      <c r="C6" s="91"/>
      <c r="D6" s="91"/>
      <c r="E6" s="91"/>
      <c r="F6" s="91"/>
      <c r="G6" s="91"/>
      <c r="H6" s="92"/>
    </row>
    <row r="7" spans="1:8" ht="13.5" thickBot="1">
      <c r="A7" s="165"/>
      <c r="B7" s="166" t="s">
        <v>78</v>
      </c>
      <c r="C7" s="166" t="s">
        <v>70</v>
      </c>
      <c r="D7" s="166" t="s">
        <v>71</v>
      </c>
      <c r="E7" s="166" t="s">
        <v>79</v>
      </c>
      <c r="F7" s="166" t="s">
        <v>73</v>
      </c>
      <c r="G7" s="166" t="s">
        <v>74</v>
      </c>
      <c r="H7" s="167" t="s">
        <v>75</v>
      </c>
    </row>
    <row r="8" spans="1:8" ht="12.75">
      <c r="A8" s="86" t="s">
        <v>26</v>
      </c>
      <c r="B8" s="392">
        <v>239194</v>
      </c>
      <c r="C8" s="392">
        <v>179289</v>
      </c>
      <c r="D8" s="392">
        <v>33304</v>
      </c>
      <c r="E8" s="392">
        <v>15627</v>
      </c>
      <c r="F8" s="392">
        <v>10052</v>
      </c>
      <c r="G8" s="392">
        <v>721</v>
      </c>
      <c r="H8" s="393">
        <v>201</v>
      </c>
    </row>
    <row r="9" spans="1:8" ht="12.75">
      <c r="A9" s="86" t="s">
        <v>27</v>
      </c>
      <c r="B9" s="392">
        <v>42117</v>
      </c>
      <c r="C9" s="392">
        <v>23342</v>
      </c>
      <c r="D9" s="392">
        <v>10012</v>
      </c>
      <c r="E9" s="392">
        <v>5173</v>
      </c>
      <c r="F9" s="392">
        <v>3416</v>
      </c>
      <c r="G9" s="392">
        <v>146</v>
      </c>
      <c r="H9" s="393">
        <v>28</v>
      </c>
    </row>
    <row r="10" spans="1:8" ht="12.75">
      <c r="A10" s="86" t="s">
        <v>28</v>
      </c>
      <c r="B10" s="392">
        <v>16690</v>
      </c>
      <c r="C10" s="392">
        <v>8219</v>
      </c>
      <c r="D10" s="392">
        <v>3198</v>
      </c>
      <c r="E10" s="392">
        <v>2700</v>
      </c>
      <c r="F10" s="392">
        <v>2412</v>
      </c>
      <c r="G10" s="392">
        <v>136</v>
      </c>
      <c r="H10" s="393">
        <v>25</v>
      </c>
    </row>
    <row r="11" spans="1:8" ht="12.75">
      <c r="A11" s="86" t="s">
        <v>29</v>
      </c>
      <c r="B11" s="392">
        <v>34294</v>
      </c>
      <c r="C11" s="392">
        <v>22951</v>
      </c>
      <c r="D11" s="392">
        <v>5810</v>
      </c>
      <c r="E11" s="392">
        <v>2299</v>
      </c>
      <c r="F11" s="392">
        <v>2673</v>
      </c>
      <c r="G11" s="392">
        <v>497</v>
      </c>
      <c r="H11" s="393">
        <v>64</v>
      </c>
    </row>
    <row r="12" spans="1:8" ht="12.75">
      <c r="A12" s="86" t="s">
        <v>30</v>
      </c>
      <c r="B12" s="392">
        <v>23229</v>
      </c>
      <c r="C12" s="392">
        <v>7888</v>
      </c>
      <c r="D12" s="392">
        <v>5466</v>
      </c>
      <c r="E12" s="392">
        <v>3522</v>
      </c>
      <c r="F12" s="392">
        <v>4495</v>
      </c>
      <c r="G12" s="392">
        <v>1427</v>
      </c>
      <c r="H12" s="393">
        <v>431</v>
      </c>
    </row>
    <row r="13" spans="1:8" ht="12.75">
      <c r="A13" s="86" t="s">
        <v>31</v>
      </c>
      <c r="B13" s="392">
        <v>16911</v>
      </c>
      <c r="C13" s="392">
        <v>5212</v>
      </c>
      <c r="D13" s="392">
        <v>4007</v>
      </c>
      <c r="E13" s="392">
        <v>2600</v>
      </c>
      <c r="F13" s="392">
        <v>3930</v>
      </c>
      <c r="G13" s="392">
        <v>977</v>
      </c>
      <c r="H13" s="393">
        <v>185</v>
      </c>
    </row>
    <row r="14" spans="1:8" ht="12.75">
      <c r="A14" s="86" t="s">
        <v>32</v>
      </c>
      <c r="B14" s="392">
        <v>73724</v>
      </c>
      <c r="C14" s="392">
        <v>24662</v>
      </c>
      <c r="D14" s="392">
        <v>17119</v>
      </c>
      <c r="E14" s="392">
        <v>11402</v>
      </c>
      <c r="F14" s="392">
        <v>15231</v>
      </c>
      <c r="G14" s="392">
        <v>3799</v>
      </c>
      <c r="H14" s="393">
        <v>1511</v>
      </c>
    </row>
    <row r="15" spans="1:8" ht="12.75">
      <c r="A15" s="86" t="s">
        <v>33</v>
      </c>
      <c r="B15" s="392">
        <v>73762</v>
      </c>
      <c r="C15" s="392">
        <v>21961</v>
      </c>
      <c r="D15" s="392">
        <v>17648</v>
      </c>
      <c r="E15" s="392">
        <v>11387</v>
      </c>
      <c r="F15" s="392">
        <v>16138</v>
      </c>
      <c r="G15" s="392">
        <v>5283</v>
      </c>
      <c r="H15" s="393">
        <v>1345</v>
      </c>
    </row>
    <row r="16" spans="1:8" ht="12.75">
      <c r="A16" s="86" t="s">
        <v>34</v>
      </c>
      <c r="B16" s="392">
        <v>18857</v>
      </c>
      <c r="C16" s="392">
        <v>10497</v>
      </c>
      <c r="D16" s="392">
        <v>4218</v>
      </c>
      <c r="E16" s="392">
        <v>1775</v>
      </c>
      <c r="F16" s="392">
        <v>1826</v>
      </c>
      <c r="G16" s="392">
        <v>437</v>
      </c>
      <c r="H16" s="393">
        <v>104</v>
      </c>
    </row>
    <row r="17" spans="1:8" ht="12.75">
      <c r="A17" s="86" t="s">
        <v>35</v>
      </c>
      <c r="B17" s="392">
        <v>156982</v>
      </c>
      <c r="C17" s="392">
        <v>61982</v>
      </c>
      <c r="D17" s="392">
        <v>27485</v>
      </c>
      <c r="E17" s="392">
        <v>20774</v>
      </c>
      <c r="F17" s="392">
        <v>35865</v>
      </c>
      <c r="G17" s="392">
        <v>9004</v>
      </c>
      <c r="H17" s="393">
        <v>1872</v>
      </c>
    </row>
    <row r="18" spans="1:8" ht="12.75">
      <c r="A18" s="86" t="s">
        <v>36</v>
      </c>
      <c r="B18" s="392">
        <v>14893</v>
      </c>
      <c r="C18" s="392">
        <v>7647</v>
      </c>
      <c r="D18" s="392">
        <v>3272</v>
      </c>
      <c r="E18" s="392">
        <v>1546</v>
      </c>
      <c r="F18" s="392">
        <v>1806</v>
      </c>
      <c r="G18" s="392">
        <v>468</v>
      </c>
      <c r="H18" s="393">
        <v>154</v>
      </c>
    </row>
    <row r="19" spans="1:8" ht="12.75">
      <c r="A19" s="86" t="s">
        <v>37</v>
      </c>
      <c r="B19" s="392">
        <v>182266</v>
      </c>
      <c r="C19" s="394">
        <v>86928</v>
      </c>
      <c r="D19" s="392">
        <v>43312</v>
      </c>
      <c r="E19" s="392">
        <v>20454</v>
      </c>
      <c r="F19" s="392">
        <v>23852</v>
      </c>
      <c r="G19" s="392">
        <v>5822</v>
      </c>
      <c r="H19" s="393">
        <v>1898</v>
      </c>
    </row>
    <row r="20" spans="1:8" ht="12.75">
      <c r="A20" s="86" t="s">
        <v>38</v>
      </c>
      <c r="B20" s="392">
        <v>214367</v>
      </c>
      <c r="C20" s="392">
        <v>106310</v>
      </c>
      <c r="D20" s="392">
        <v>63088</v>
      </c>
      <c r="E20" s="392">
        <v>24871</v>
      </c>
      <c r="F20" s="392">
        <v>16466</v>
      </c>
      <c r="G20" s="392">
        <v>2764</v>
      </c>
      <c r="H20" s="393">
        <v>868</v>
      </c>
    </row>
    <row r="21" spans="1:8" ht="12.75">
      <c r="A21" s="86" t="s">
        <v>39</v>
      </c>
      <c r="B21" s="392">
        <v>55386</v>
      </c>
      <c r="C21" s="392">
        <v>26005</v>
      </c>
      <c r="D21" s="392">
        <v>13548</v>
      </c>
      <c r="E21" s="392">
        <v>6195</v>
      </c>
      <c r="F21" s="392">
        <v>6363</v>
      </c>
      <c r="G21" s="392">
        <v>2099</v>
      </c>
      <c r="H21" s="393">
        <v>1176</v>
      </c>
    </row>
    <row r="22" spans="1:8" ht="12.75">
      <c r="A22" s="86" t="s">
        <v>40</v>
      </c>
      <c r="B22" s="392">
        <v>105796</v>
      </c>
      <c r="C22" s="392">
        <v>59347</v>
      </c>
      <c r="D22" s="392">
        <v>18700</v>
      </c>
      <c r="E22" s="392">
        <v>9078</v>
      </c>
      <c r="F22" s="392">
        <v>13635</v>
      </c>
      <c r="G22" s="392">
        <v>3849</v>
      </c>
      <c r="H22" s="393">
        <v>1187</v>
      </c>
    </row>
    <row r="23" spans="1:8" ht="12.75">
      <c r="A23" s="86" t="s">
        <v>41</v>
      </c>
      <c r="B23" s="392">
        <v>355638</v>
      </c>
      <c r="C23" s="392">
        <v>109649</v>
      </c>
      <c r="D23" s="392">
        <v>106548</v>
      </c>
      <c r="E23" s="392">
        <v>60043</v>
      </c>
      <c r="F23" s="392">
        <v>58490</v>
      </c>
      <c r="G23" s="392">
        <v>14362</v>
      </c>
      <c r="H23" s="393">
        <v>6546</v>
      </c>
    </row>
    <row r="24" spans="1:8" ht="12.75">
      <c r="A24" s="86" t="s">
        <v>42</v>
      </c>
      <c r="B24" s="392">
        <v>34468</v>
      </c>
      <c r="C24" s="392">
        <v>19247</v>
      </c>
      <c r="D24" s="392">
        <v>8000</v>
      </c>
      <c r="E24" s="392">
        <v>3390</v>
      </c>
      <c r="F24" s="392">
        <v>2860</v>
      </c>
      <c r="G24" s="392">
        <v>667</v>
      </c>
      <c r="H24" s="393">
        <v>304</v>
      </c>
    </row>
    <row r="25" spans="1:9" s="7" customFormat="1" ht="12.75">
      <c r="A25" s="87" t="s">
        <v>236</v>
      </c>
      <c r="B25" s="392">
        <v>18</v>
      </c>
      <c r="C25" s="259">
        <v>7</v>
      </c>
      <c r="D25" s="259">
        <v>7</v>
      </c>
      <c r="E25" s="259">
        <v>2</v>
      </c>
      <c r="F25" s="259">
        <v>2</v>
      </c>
      <c r="G25" s="260" t="s">
        <v>142</v>
      </c>
      <c r="H25" s="261" t="s">
        <v>142</v>
      </c>
      <c r="I25"/>
    </row>
    <row r="26" spans="1:8" ht="12.75">
      <c r="A26" s="86"/>
      <c r="B26" s="394"/>
      <c r="C26" s="394"/>
      <c r="D26" s="394"/>
      <c r="E26" s="394"/>
      <c r="F26" s="394"/>
      <c r="G26" s="394"/>
      <c r="H26" s="393"/>
    </row>
    <row r="27" spans="1:8" ht="13.5" thickBot="1">
      <c r="A27" s="168" t="s">
        <v>200</v>
      </c>
      <c r="B27" s="395">
        <f aca="true" t="shared" si="0" ref="B27:H27">SUM(B8:B26)</f>
        <v>1658592</v>
      </c>
      <c r="C27" s="395">
        <f t="shared" si="0"/>
        <v>781143</v>
      </c>
      <c r="D27" s="395">
        <f t="shared" si="0"/>
        <v>384742</v>
      </c>
      <c r="E27" s="395">
        <f t="shared" si="0"/>
        <v>202838</v>
      </c>
      <c r="F27" s="395">
        <f t="shared" si="0"/>
        <v>219512</v>
      </c>
      <c r="G27" s="395">
        <f t="shared" si="0"/>
        <v>52458</v>
      </c>
      <c r="H27" s="396">
        <f t="shared" si="0"/>
        <v>17899</v>
      </c>
    </row>
    <row r="28" ht="12.75">
      <c r="A28" s="17" t="s">
        <v>230</v>
      </c>
    </row>
    <row r="29" ht="12.75">
      <c r="A29" s="6" t="s">
        <v>263</v>
      </c>
    </row>
  </sheetData>
  <mergeCells count="3">
    <mergeCell ref="A1:H1"/>
    <mergeCell ref="C5:H5"/>
    <mergeCell ref="A3:H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 transitionEvaluation="1">
    <pageSetUpPr fitToPage="1"/>
  </sheetPr>
  <dimension ref="A1:F34"/>
  <sheetViews>
    <sheetView showGridLines="0" zoomScale="75" zoomScaleNormal="75" zoomScaleSheetLayoutView="75" workbookViewId="0" topLeftCell="A1">
      <selection activeCell="A1" sqref="A1:F1"/>
    </sheetView>
  </sheetViews>
  <sheetFormatPr defaultColWidth="12.57421875" defaultRowHeight="12.75"/>
  <cols>
    <col min="1" max="1" width="44.28125" style="1" customWidth="1"/>
    <col min="2" max="2" width="16.7109375" style="1" customWidth="1"/>
    <col min="3" max="6" width="18.00390625" style="1" customWidth="1"/>
    <col min="7" max="16384" width="19.140625" style="1" customWidth="1"/>
  </cols>
  <sheetData>
    <row r="1" spans="1:6" ht="18">
      <c r="A1" s="419" t="s">
        <v>139</v>
      </c>
      <c r="B1" s="419"/>
      <c r="C1" s="419"/>
      <c r="D1" s="419"/>
      <c r="E1" s="419"/>
      <c r="F1" s="419"/>
    </row>
    <row r="3" spans="1:6" ht="15">
      <c r="A3" s="425" t="s">
        <v>238</v>
      </c>
      <c r="B3" s="425"/>
      <c r="C3" s="425"/>
      <c r="D3" s="425"/>
      <c r="E3" s="425"/>
      <c r="F3" s="425"/>
    </row>
    <row r="4" spans="1:6" ht="15">
      <c r="A4" s="425" t="s">
        <v>282</v>
      </c>
      <c r="B4" s="425"/>
      <c r="C4" s="425"/>
      <c r="D4" s="425"/>
      <c r="E4" s="425"/>
      <c r="F4" s="425"/>
    </row>
    <row r="6" spans="1:6" ht="12.75">
      <c r="A6" s="22"/>
      <c r="B6" s="23" t="s">
        <v>0</v>
      </c>
      <c r="C6" s="421" t="s">
        <v>249</v>
      </c>
      <c r="D6" s="422"/>
      <c r="E6" s="422"/>
      <c r="F6" s="422"/>
    </row>
    <row r="7" spans="1:6" ht="12.75">
      <c r="A7" s="24" t="s">
        <v>276</v>
      </c>
      <c r="B7" s="25" t="s">
        <v>3</v>
      </c>
      <c r="C7" s="423"/>
      <c r="D7" s="424"/>
      <c r="E7" s="424"/>
      <c r="F7" s="424"/>
    </row>
    <row r="8" spans="1:6" ht="15" customHeight="1" thickBot="1">
      <c r="A8" s="114"/>
      <c r="B8" s="115" t="s">
        <v>4</v>
      </c>
      <c r="C8" s="115" t="s">
        <v>15</v>
      </c>
      <c r="D8" s="115" t="s">
        <v>16</v>
      </c>
      <c r="E8" s="115" t="s">
        <v>17</v>
      </c>
      <c r="F8" s="116" t="s">
        <v>18</v>
      </c>
    </row>
    <row r="9" spans="1:6" ht="12.75">
      <c r="A9" s="24" t="s">
        <v>277</v>
      </c>
      <c r="B9" s="25" t="s">
        <v>10</v>
      </c>
      <c r="C9" s="28">
        <v>1772.985</v>
      </c>
      <c r="D9" s="28">
        <v>1383.914</v>
      </c>
      <c r="E9" s="28">
        <v>1277.597</v>
      </c>
      <c r="F9" s="118">
        <v>1208.262</v>
      </c>
    </row>
    <row r="10" spans="1:6" ht="12.75">
      <c r="A10" s="117" t="s">
        <v>134</v>
      </c>
      <c r="B10" s="25" t="s">
        <v>10</v>
      </c>
      <c r="C10" s="120" t="s">
        <v>144</v>
      </c>
      <c r="D10" s="28">
        <v>10.3</v>
      </c>
      <c r="E10" s="28">
        <v>7.494</v>
      </c>
      <c r="F10" s="118">
        <v>6.107</v>
      </c>
    </row>
    <row r="11" spans="1:6" ht="12.75">
      <c r="A11" s="117" t="s">
        <v>135</v>
      </c>
      <c r="B11" s="25" t="s">
        <v>10</v>
      </c>
      <c r="C11" s="28">
        <v>1772.985</v>
      </c>
      <c r="D11" s="28">
        <v>1373.614</v>
      </c>
      <c r="E11" s="28">
        <v>1270.103</v>
      </c>
      <c r="F11" s="118">
        <v>1202.155</v>
      </c>
    </row>
    <row r="12" spans="1:6" ht="12.75">
      <c r="A12" s="24"/>
      <c r="B12" s="25"/>
      <c r="C12" s="30"/>
      <c r="D12" s="30"/>
      <c r="E12" s="30"/>
      <c r="F12" s="119"/>
    </row>
    <row r="13" spans="1:6" ht="12.75">
      <c r="A13" s="24" t="s">
        <v>278</v>
      </c>
      <c r="B13" s="25" t="s">
        <v>156</v>
      </c>
      <c r="C13" s="28">
        <v>33685.759</v>
      </c>
      <c r="D13" s="28">
        <v>33995.885</v>
      </c>
      <c r="E13" s="28">
        <v>33949.63</v>
      </c>
      <c r="F13" s="118">
        <v>33824.848</v>
      </c>
    </row>
    <row r="14" spans="1:6" ht="12.75">
      <c r="A14" s="117" t="s">
        <v>136</v>
      </c>
      <c r="B14" s="25" t="s">
        <v>156</v>
      </c>
      <c r="C14" s="28">
        <v>18524.506999999998</v>
      </c>
      <c r="D14" s="28">
        <v>16538.077</v>
      </c>
      <c r="E14" s="28">
        <v>17031.233</v>
      </c>
      <c r="F14" s="118">
        <v>17060.03</v>
      </c>
    </row>
    <row r="15" spans="1:6" ht="12.75">
      <c r="A15" s="117" t="s">
        <v>137</v>
      </c>
      <c r="B15" s="25" t="s">
        <v>156</v>
      </c>
      <c r="C15" s="28">
        <v>15161.252</v>
      </c>
      <c r="D15" s="28">
        <v>17457.8</v>
      </c>
      <c r="E15" s="28">
        <v>16918.396999999997</v>
      </c>
      <c r="F15" s="118">
        <v>16764.818</v>
      </c>
    </row>
    <row r="16" spans="1:6" ht="12.75">
      <c r="A16" s="24"/>
      <c r="B16" s="25"/>
      <c r="C16" s="28"/>
      <c r="D16" s="28"/>
      <c r="E16" s="28"/>
      <c r="F16" s="118"/>
    </row>
    <row r="17" spans="1:6" ht="12.75">
      <c r="A17" s="27" t="s">
        <v>279</v>
      </c>
      <c r="B17" s="25" t="s">
        <v>156</v>
      </c>
      <c r="C17" s="28">
        <v>4377.95</v>
      </c>
      <c r="D17" s="28">
        <v>4614.858</v>
      </c>
      <c r="E17" s="28">
        <v>4219.485</v>
      </c>
      <c r="F17" s="118">
        <v>4066.581</v>
      </c>
    </row>
    <row r="18" spans="1:6" ht="12.75">
      <c r="A18" s="27"/>
      <c r="B18" s="25"/>
      <c r="C18" s="28"/>
      <c r="D18" s="28"/>
      <c r="E18" s="28"/>
      <c r="F18" s="118"/>
    </row>
    <row r="19" spans="1:6" ht="12.75">
      <c r="A19" s="26" t="s">
        <v>138</v>
      </c>
      <c r="B19" s="25" t="s">
        <v>156</v>
      </c>
      <c r="C19" s="28">
        <v>2180.896</v>
      </c>
      <c r="D19" s="28">
        <v>2102.603</v>
      </c>
      <c r="E19" s="28">
        <v>1878.252</v>
      </c>
      <c r="F19" s="118">
        <v>2028.7</v>
      </c>
    </row>
    <row r="20" spans="1:6" ht="12.75">
      <c r="A20" s="26"/>
      <c r="B20" s="25"/>
      <c r="C20" s="28"/>
      <c r="D20" s="28"/>
      <c r="E20" s="28"/>
      <c r="F20" s="118"/>
    </row>
    <row r="21" spans="1:6" ht="12.75">
      <c r="A21" s="26" t="s">
        <v>12</v>
      </c>
      <c r="B21" s="25" t="s">
        <v>156</v>
      </c>
      <c r="C21" s="28">
        <v>2651.559</v>
      </c>
      <c r="D21" s="28">
        <v>2646.548</v>
      </c>
      <c r="E21" s="28">
        <v>2513.31</v>
      </c>
      <c r="F21" s="118">
        <v>3048.458</v>
      </c>
    </row>
    <row r="22" spans="1:6" ht="12.75">
      <c r="A22" s="26"/>
      <c r="B22" s="420" t="s">
        <v>243</v>
      </c>
      <c r="C22" s="28"/>
      <c r="D22" s="28"/>
      <c r="E22" s="28"/>
      <c r="F22" s="118"/>
    </row>
    <row r="23" spans="1:6" ht="12.75">
      <c r="A23" s="26" t="s">
        <v>13</v>
      </c>
      <c r="B23" s="420"/>
      <c r="C23" s="120" t="s">
        <v>144</v>
      </c>
      <c r="D23" s="28">
        <v>10474.005</v>
      </c>
      <c r="E23" s="28">
        <v>10678.192</v>
      </c>
      <c r="F23" s="118">
        <v>11095.079</v>
      </c>
    </row>
    <row r="24" spans="1:6" ht="12.75">
      <c r="A24" s="26"/>
      <c r="B24" s="25"/>
      <c r="C24" s="29"/>
      <c r="D24" s="28"/>
      <c r="E24" s="28"/>
      <c r="F24" s="118"/>
    </row>
    <row r="25" spans="1:6" ht="12.75">
      <c r="A25" s="26" t="s">
        <v>14</v>
      </c>
      <c r="B25" s="25" t="s">
        <v>244</v>
      </c>
      <c r="C25" s="28">
        <v>1626.662</v>
      </c>
      <c r="D25" s="28">
        <v>1112.099</v>
      </c>
      <c r="E25" s="28">
        <v>1089.602</v>
      </c>
      <c r="F25" s="118">
        <v>1098.98</v>
      </c>
    </row>
    <row r="26" spans="1:6" ht="12.75">
      <c r="A26" s="26"/>
      <c r="B26" s="25"/>
      <c r="C26" s="28"/>
      <c r="D26" s="28"/>
      <c r="E26" s="28"/>
      <c r="F26" s="118"/>
    </row>
    <row r="27" spans="1:6" ht="13.5" thickBot="1">
      <c r="A27" s="122" t="s">
        <v>143</v>
      </c>
      <c r="B27" s="115" t="s">
        <v>245</v>
      </c>
      <c r="C27" s="123">
        <v>9404.3</v>
      </c>
      <c r="D27" s="124">
        <v>9646.2</v>
      </c>
      <c r="E27" s="124">
        <v>10973.1</v>
      </c>
      <c r="F27" s="125">
        <v>12813.14</v>
      </c>
    </row>
    <row r="28" ht="12.75">
      <c r="A28" s="1" t="s">
        <v>145</v>
      </c>
    </row>
    <row r="29" ht="12.75">
      <c r="A29" s="1" t="s">
        <v>203</v>
      </c>
    </row>
    <row r="30" ht="12.75">
      <c r="A30" s="1" t="s">
        <v>246</v>
      </c>
    </row>
    <row r="31" ht="12.75">
      <c r="A31" s="1" t="s">
        <v>264</v>
      </c>
    </row>
    <row r="32" ht="12.75">
      <c r="A32" s="1" t="s">
        <v>263</v>
      </c>
    </row>
    <row r="33" ht="12.75">
      <c r="A33" s="1" t="s">
        <v>248</v>
      </c>
    </row>
    <row r="34" ht="12.75">
      <c r="A34" s="1" t="s">
        <v>250</v>
      </c>
    </row>
  </sheetData>
  <mergeCells count="6">
    <mergeCell ref="A1:F1"/>
    <mergeCell ref="B22:B23"/>
    <mergeCell ref="C6:F6"/>
    <mergeCell ref="C7:F7"/>
    <mergeCell ref="A3:F3"/>
    <mergeCell ref="A4:F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9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IV66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175" customWidth="1"/>
    <col min="2" max="2" width="12.7109375" style="5" customWidth="1"/>
    <col min="3" max="3" width="12.28125" style="5" customWidth="1"/>
    <col min="4" max="4" width="10.57421875" style="5" customWidth="1"/>
    <col min="5" max="5" width="10.28125" style="5" customWidth="1"/>
    <col min="6" max="8" width="11.7109375" style="5" customWidth="1"/>
    <col min="9" max="9" width="14.57421875" style="5" customWidth="1"/>
    <col min="10" max="10" width="11.7109375" style="5" customWidth="1"/>
    <col min="11" max="16384" width="19.140625" style="5" customWidth="1"/>
  </cols>
  <sheetData>
    <row r="1" spans="1:10" ht="18">
      <c r="A1" s="488" t="s">
        <v>139</v>
      </c>
      <c r="B1" s="488"/>
      <c r="C1" s="488"/>
      <c r="D1" s="488"/>
      <c r="E1" s="488"/>
      <c r="F1" s="488"/>
      <c r="G1" s="488"/>
      <c r="H1" s="488"/>
      <c r="I1" s="488"/>
      <c r="J1" s="488"/>
    </row>
    <row r="2" spans="1:10" ht="18">
      <c r="A2" s="371"/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5">
      <c r="A3" s="489" t="s">
        <v>255</v>
      </c>
      <c r="B3" s="489"/>
      <c r="C3" s="489"/>
      <c r="D3" s="489"/>
      <c r="E3" s="489"/>
      <c r="F3" s="489"/>
      <c r="G3" s="489"/>
      <c r="H3" s="489"/>
      <c r="I3" s="489"/>
      <c r="J3" s="489"/>
    </row>
    <row r="4" spans="1:10" ht="12.75">
      <c r="A4" s="490"/>
      <c r="B4" s="490"/>
      <c r="C4" s="490"/>
      <c r="D4" s="490"/>
      <c r="E4" s="490"/>
      <c r="F4" s="490"/>
      <c r="G4" s="490"/>
      <c r="H4" s="490"/>
      <c r="I4" s="490"/>
      <c r="J4" s="159"/>
    </row>
    <row r="5" spans="1:10" ht="12.75">
      <c r="A5" s="93"/>
      <c r="B5" s="94" t="s">
        <v>80</v>
      </c>
      <c r="C5" s="94" t="s">
        <v>81</v>
      </c>
      <c r="D5" s="95" t="s">
        <v>86</v>
      </c>
      <c r="E5" s="95" t="s">
        <v>87</v>
      </c>
      <c r="F5" s="94" t="s">
        <v>82</v>
      </c>
      <c r="G5" s="94" t="s">
        <v>89</v>
      </c>
      <c r="H5" s="94" t="s">
        <v>81</v>
      </c>
      <c r="I5" s="94" t="s">
        <v>83</v>
      </c>
      <c r="J5" s="177" t="s">
        <v>83</v>
      </c>
    </row>
    <row r="6" spans="1:10" ht="12.75">
      <c r="A6" s="96" t="s">
        <v>22</v>
      </c>
      <c r="B6" s="97" t="s">
        <v>84</v>
      </c>
      <c r="C6" s="97" t="s">
        <v>85</v>
      </c>
      <c r="D6" s="98"/>
      <c r="E6" s="98"/>
      <c r="F6" s="97" t="s">
        <v>88</v>
      </c>
      <c r="G6" s="97"/>
      <c r="H6" s="97" t="s">
        <v>90</v>
      </c>
      <c r="I6" s="97" t="s">
        <v>23</v>
      </c>
      <c r="J6" s="178" t="s">
        <v>23</v>
      </c>
    </row>
    <row r="7" spans="1:10" ht="12.75">
      <c r="A7" s="99"/>
      <c r="B7" s="97" t="s">
        <v>91</v>
      </c>
      <c r="C7" s="97" t="s">
        <v>92</v>
      </c>
      <c r="D7" s="98"/>
      <c r="E7" s="98"/>
      <c r="F7" s="98"/>
      <c r="G7" s="98"/>
      <c r="H7" s="97" t="s">
        <v>92</v>
      </c>
      <c r="I7" s="97" t="s">
        <v>93</v>
      </c>
      <c r="J7" s="178" t="s">
        <v>235</v>
      </c>
    </row>
    <row r="8" spans="1:10" ht="13.5" thickBot="1">
      <c r="A8" s="171"/>
      <c r="B8" s="172" t="s">
        <v>94</v>
      </c>
      <c r="C8" s="172" t="s">
        <v>95</v>
      </c>
      <c r="D8" s="172" t="s">
        <v>96</v>
      </c>
      <c r="E8" s="172" t="s">
        <v>97</v>
      </c>
      <c r="F8" s="172" t="s">
        <v>98</v>
      </c>
      <c r="G8" s="172" t="s">
        <v>99</v>
      </c>
      <c r="H8" s="172" t="s">
        <v>100</v>
      </c>
      <c r="I8" s="172" t="s">
        <v>101</v>
      </c>
      <c r="J8" s="180" t="s">
        <v>166</v>
      </c>
    </row>
    <row r="9" spans="1:10" ht="12.75">
      <c r="A9" s="99" t="s">
        <v>26</v>
      </c>
      <c r="B9" s="100">
        <v>4171</v>
      </c>
      <c r="C9" s="100">
        <v>23015</v>
      </c>
      <c r="D9" s="100">
        <v>6630</v>
      </c>
      <c r="E9" s="100">
        <v>15650</v>
      </c>
      <c r="F9" s="100">
        <v>7411</v>
      </c>
      <c r="G9" s="100">
        <v>3</v>
      </c>
      <c r="H9" s="100">
        <v>3148</v>
      </c>
      <c r="I9" s="100">
        <v>24492</v>
      </c>
      <c r="J9" s="181">
        <v>12739</v>
      </c>
    </row>
    <row r="10" spans="1:10" ht="12.75">
      <c r="A10" s="99" t="s">
        <v>27</v>
      </c>
      <c r="B10" s="100">
        <v>33</v>
      </c>
      <c r="C10" s="100">
        <v>698</v>
      </c>
      <c r="D10" s="100">
        <v>404</v>
      </c>
      <c r="E10" s="100">
        <v>3</v>
      </c>
      <c r="F10" s="100">
        <v>2323</v>
      </c>
      <c r="G10" s="353" t="s">
        <v>142</v>
      </c>
      <c r="H10" s="100">
        <v>9</v>
      </c>
      <c r="I10" s="100">
        <v>8269</v>
      </c>
      <c r="J10" s="181">
        <v>12417</v>
      </c>
    </row>
    <row r="11" spans="1:10" ht="12.75">
      <c r="A11" s="99" t="s">
        <v>28</v>
      </c>
      <c r="B11" s="100">
        <v>31</v>
      </c>
      <c r="C11" s="100">
        <v>227</v>
      </c>
      <c r="D11" s="100">
        <v>250</v>
      </c>
      <c r="E11" s="100">
        <v>2</v>
      </c>
      <c r="F11" s="100">
        <v>80</v>
      </c>
      <c r="G11" s="353" t="s">
        <v>142</v>
      </c>
      <c r="H11" s="100">
        <v>5</v>
      </c>
      <c r="I11" s="100">
        <v>5128</v>
      </c>
      <c r="J11" s="181">
        <v>4558</v>
      </c>
    </row>
    <row r="12" spans="1:10" ht="12.75">
      <c r="A12" s="99" t="s">
        <v>29</v>
      </c>
      <c r="B12" s="100">
        <v>1059</v>
      </c>
      <c r="C12" s="100">
        <v>1064</v>
      </c>
      <c r="D12" s="100">
        <v>1232</v>
      </c>
      <c r="E12" s="100">
        <v>1680</v>
      </c>
      <c r="F12" s="100">
        <v>2867</v>
      </c>
      <c r="G12" s="100">
        <v>18</v>
      </c>
      <c r="H12" s="100">
        <v>180</v>
      </c>
      <c r="I12" s="100">
        <v>2121</v>
      </c>
      <c r="J12" s="181">
        <v>4396</v>
      </c>
    </row>
    <row r="13" spans="1:10" ht="12.75">
      <c r="A13" s="99" t="s">
        <v>30</v>
      </c>
      <c r="B13" s="100">
        <v>5119</v>
      </c>
      <c r="C13" s="100">
        <v>1960</v>
      </c>
      <c r="D13" s="100">
        <v>1931</v>
      </c>
      <c r="E13" s="100">
        <v>2582</v>
      </c>
      <c r="F13" s="100">
        <v>938</v>
      </c>
      <c r="G13" s="100">
        <v>1070</v>
      </c>
      <c r="H13" s="100">
        <v>1306</v>
      </c>
      <c r="I13" s="100">
        <v>539</v>
      </c>
      <c r="J13" s="181">
        <v>790</v>
      </c>
    </row>
    <row r="14" spans="1:10" ht="12.75">
      <c r="A14" s="99" t="s">
        <v>31</v>
      </c>
      <c r="B14" s="100">
        <v>854</v>
      </c>
      <c r="C14" s="100">
        <v>774</v>
      </c>
      <c r="D14" s="100">
        <v>1529</v>
      </c>
      <c r="E14" s="100">
        <v>6382</v>
      </c>
      <c r="F14" s="100">
        <v>1967</v>
      </c>
      <c r="G14" s="100">
        <v>337</v>
      </c>
      <c r="H14" s="100">
        <v>1673</v>
      </c>
      <c r="I14" s="100">
        <v>39</v>
      </c>
      <c r="J14" s="181">
        <v>282</v>
      </c>
    </row>
    <row r="15" spans="1:10" ht="12.75">
      <c r="A15" s="99" t="s">
        <v>32</v>
      </c>
      <c r="B15" s="100">
        <v>20167</v>
      </c>
      <c r="C15" s="100">
        <v>5071</v>
      </c>
      <c r="D15" s="100">
        <v>2534</v>
      </c>
      <c r="E15" s="100">
        <v>3976</v>
      </c>
      <c r="F15" s="100">
        <v>12105</v>
      </c>
      <c r="G15" s="100">
        <v>4876</v>
      </c>
      <c r="H15" s="100">
        <v>6101</v>
      </c>
      <c r="I15" s="100">
        <v>133</v>
      </c>
      <c r="J15" s="181">
        <v>1462</v>
      </c>
    </row>
    <row r="16" spans="1:10" ht="12.75">
      <c r="A16" s="99" t="s">
        <v>33</v>
      </c>
      <c r="B16" s="100">
        <v>10578</v>
      </c>
      <c r="C16" s="100">
        <v>1989</v>
      </c>
      <c r="D16" s="100">
        <v>2884</v>
      </c>
      <c r="E16" s="100">
        <v>5142</v>
      </c>
      <c r="F16" s="100">
        <v>13049</v>
      </c>
      <c r="G16" s="100">
        <v>12258</v>
      </c>
      <c r="H16" s="100">
        <v>8823</v>
      </c>
      <c r="I16" s="100">
        <v>904</v>
      </c>
      <c r="J16" s="181">
        <v>1611</v>
      </c>
    </row>
    <row r="17" spans="1:10" ht="12.75">
      <c r="A17" s="99" t="s">
        <v>34</v>
      </c>
      <c r="B17" s="100">
        <v>1279</v>
      </c>
      <c r="C17" s="100">
        <v>621</v>
      </c>
      <c r="D17" s="100">
        <v>690</v>
      </c>
      <c r="E17" s="100">
        <v>140</v>
      </c>
      <c r="F17" s="100">
        <v>6365</v>
      </c>
      <c r="G17" s="100">
        <v>482</v>
      </c>
      <c r="H17" s="100">
        <v>2730</v>
      </c>
      <c r="I17" s="100">
        <v>324</v>
      </c>
      <c r="J17" s="181">
        <v>48</v>
      </c>
    </row>
    <row r="18" spans="1:10" ht="12.75">
      <c r="A18" s="99" t="s">
        <v>35</v>
      </c>
      <c r="B18" s="100">
        <v>48832</v>
      </c>
      <c r="C18" s="100">
        <v>11453</v>
      </c>
      <c r="D18" s="100">
        <v>3128</v>
      </c>
      <c r="E18" s="100">
        <v>19763</v>
      </c>
      <c r="F18" s="100">
        <v>4957</v>
      </c>
      <c r="G18" s="100">
        <v>3337</v>
      </c>
      <c r="H18" s="100">
        <v>4519</v>
      </c>
      <c r="I18" s="100">
        <v>2765</v>
      </c>
      <c r="J18" s="181">
        <v>9707</v>
      </c>
    </row>
    <row r="19" spans="1:10" ht="12.75">
      <c r="A19" s="99" t="s">
        <v>36</v>
      </c>
      <c r="B19" s="100">
        <v>2202</v>
      </c>
      <c r="C19" s="98">
        <v>379</v>
      </c>
      <c r="D19" s="100">
        <v>669</v>
      </c>
      <c r="E19" s="100">
        <v>2430</v>
      </c>
      <c r="F19" s="100">
        <v>82</v>
      </c>
      <c r="G19" s="100">
        <v>3816</v>
      </c>
      <c r="H19" s="100">
        <v>1284</v>
      </c>
      <c r="I19" s="100">
        <v>189</v>
      </c>
      <c r="J19" s="181">
        <v>1230</v>
      </c>
    </row>
    <row r="20" spans="1:10" ht="12.75">
      <c r="A20" s="99" t="s">
        <v>37</v>
      </c>
      <c r="B20" s="100">
        <v>27073</v>
      </c>
      <c r="C20" s="100">
        <v>4563</v>
      </c>
      <c r="D20" s="100">
        <v>2799</v>
      </c>
      <c r="E20" s="100">
        <v>45337</v>
      </c>
      <c r="F20" s="100">
        <v>3982</v>
      </c>
      <c r="G20" s="100">
        <v>47470</v>
      </c>
      <c r="H20" s="100">
        <v>17250</v>
      </c>
      <c r="I20" s="100">
        <v>478</v>
      </c>
      <c r="J20" s="181">
        <v>1304</v>
      </c>
    </row>
    <row r="21" spans="1:10" ht="12.75">
      <c r="A21" s="99" t="s">
        <v>38</v>
      </c>
      <c r="B21" s="100">
        <v>3641</v>
      </c>
      <c r="C21" s="100">
        <v>1819</v>
      </c>
      <c r="D21" s="100">
        <v>6425</v>
      </c>
      <c r="E21" s="100">
        <v>10841</v>
      </c>
      <c r="F21" s="100">
        <v>131238</v>
      </c>
      <c r="G21" s="100">
        <v>21385</v>
      </c>
      <c r="H21" s="100">
        <v>26252</v>
      </c>
      <c r="I21" s="100">
        <v>78</v>
      </c>
      <c r="J21" s="181">
        <v>312</v>
      </c>
    </row>
    <row r="22" spans="1:10" ht="12.75">
      <c r="A22" s="99" t="s">
        <v>39</v>
      </c>
      <c r="B22" s="100">
        <v>983</v>
      </c>
      <c r="C22" s="100">
        <v>1227</v>
      </c>
      <c r="D22" s="100">
        <v>4508</v>
      </c>
      <c r="E22" s="100">
        <v>2597</v>
      </c>
      <c r="F22" s="100">
        <v>34130</v>
      </c>
      <c r="G22" s="100">
        <v>3085</v>
      </c>
      <c r="H22" s="100">
        <v>3662</v>
      </c>
      <c r="I22" s="100">
        <v>64</v>
      </c>
      <c r="J22" s="181">
        <v>103</v>
      </c>
    </row>
    <row r="23" spans="1:10" ht="12.75">
      <c r="A23" s="99" t="s">
        <v>40</v>
      </c>
      <c r="B23" s="100">
        <v>7769</v>
      </c>
      <c r="C23" s="100">
        <v>6948</v>
      </c>
      <c r="D23" s="100">
        <v>2049</v>
      </c>
      <c r="E23" s="100">
        <v>4395</v>
      </c>
      <c r="F23" s="100">
        <v>8027</v>
      </c>
      <c r="G23" s="100">
        <v>37747</v>
      </c>
      <c r="H23" s="100">
        <v>8223</v>
      </c>
      <c r="I23" s="100">
        <v>436</v>
      </c>
      <c r="J23" s="181">
        <v>3885</v>
      </c>
    </row>
    <row r="24" spans="1:10" ht="12.75">
      <c r="A24" s="99" t="s">
        <v>41</v>
      </c>
      <c r="B24" s="100">
        <v>19280</v>
      </c>
      <c r="C24" s="100">
        <v>16967</v>
      </c>
      <c r="D24" s="100">
        <v>30490</v>
      </c>
      <c r="E24" s="100">
        <v>8892</v>
      </c>
      <c r="F24" s="100">
        <v>30972</v>
      </c>
      <c r="G24" s="100">
        <v>191214</v>
      </c>
      <c r="H24" s="100">
        <v>17125</v>
      </c>
      <c r="I24" s="100">
        <v>1403</v>
      </c>
      <c r="J24" s="181">
        <v>1877</v>
      </c>
    </row>
    <row r="25" spans="1:10" ht="12.75">
      <c r="A25" s="99" t="s">
        <v>42</v>
      </c>
      <c r="B25" s="100">
        <v>206</v>
      </c>
      <c r="C25" s="100">
        <v>6215</v>
      </c>
      <c r="D25" s="100">
        <v>3604</v>
      </c>
      <c r="E25" s="100">
        <v>2583</v>
      </c>
      <c r="F25" s="100">
        <v>10656</v>
      </c>
      <c r="G25" s="100">
        <v>9</v>
      </c>
      <c r="H25" s="100">
        <v>1999</v>
      </c>
      <c r="I25" s="100">
        <v>536</v>
      </c>
      <c r="J25" s="181">
        <v>156</v>
      </c>
    </row>
    <row r="26" spans="1:10" s="7" customFormat="1" ht="12.75">
      <c r="A26" s="372" t="s">
        <v>227</v>
      </c>
      <c r="B26" s="353" t="s">
        <v>142</v>
      </c>
      <c r="C26" s="78">
        <v>1</v>
      </c>
      <c r="D26" s="353" t="s">
        <v>142</v>
      </c>
      <c r="E26" s="353" t="s">
        <v>142</v>
      </c>
      <c r="F26" s="78">
        <v>1</v>
      </c>
      <c r="G26" s="353" t="s">
        <v>142</v>
      </c>
      <c r="H26" s="353" t="s">
        <v>142</v>
      </c>
      <c r="I26" s="163">
        <v>1</v>
      </c>
      <c r="J26" s="354" t="s">
        <v>142</v>
      </c>
    </row>
    <row r="27" spans="1:10" s="7" customFormat="1" ht="12.75">
      <c r="A27" s="372" t="s">
        <v>228</v>
      </c>
      <c r="B27" s="353" t="s">
        <v>142</v>
      </c>
      <c r="C27" s="353" t="s">
        <v>142</v>
      </c>
      <c r="D27" s="78">
        <v>1</v>
      </c>
      <c r="E27" s="353" t="s">
        <v>142</v>
      </c>
      <c r="F27" s="353" t="s">
        <v>142</v>
      </c>
      <c r="G27" s="163">
        <v>1</v>
      </c>
      <c r="H27" s="163">
        <v>1</v>
      </c>
      <c r="I27" s="353" t="s">
        <v>142</v>
      </c>
      <c r="J27" s="354" t="s">
        <v>142</v>
      </c>
    </row>
    <row r="28" spans="1:10" ht="12.75">
      <c r="A28" s="99"/>
      <c r="B28" s="98"/>
      <c r="C28" s="98"/>
      <c r="D28" s="98"/>
      <c r="E28" s="98"/>
      <c r="F28" s="98"/>
      <c r="G28" s="98"/>
      <c r="H28" s="98"/>
      <c r="I28" s="98"/>
      <c r="J28" s="182"/>
    </row>
    <row r="29" spans="1:10" ht="13.5" thickBot="1">
      <c r="A29" s="173" t="s">
        <v>200</v>
      </c>
      <c r="B29" s="174">
        <f aca="true" t="shared" si="0" ref="B29:J29">SUM(B9:B28)</f>
        <v>153277</v>
      </c>
      <c r="C29" s="174">
        <f t="shared" si="0"/>
        <v>84991</v>
      </c>
      <c r="D29" s="174">
        <f t="shared" si="0"/>
        <v>71757</v>
      </c>
      <c r="E29" s="174">
        <f t="shared" si="0"/>
        <v>132395</v>
      </c>
      <c r="F29" s="174">
        <f t="shared" si="0"/>
        <v>271150</v>
      </c>
      <c r="G29" s="174">
        <f t="shared" si="0"/>
        <v>327108</v>
      </c>
      <c r="H29" s="174">
        <f t="shared" si="0"/>
        <v>104290</v>
      </c>
      <c r="I29" s="174">
        <f t="shared" si="0"/>
        <v>47899</v>
      </c>
      <c r="J29" s="183">
        <f t="shared" si="0"/>
        <v>56877</v>
      </c>
    </row>
    <row r="30" spans="7:256" ht="12.75"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7" spans="1:10" ht="15">
      <c r="A37" s="489"/>
      <c r="B37" s="489"/>
      <c r="C37" s="489"/>
      <c r="D37" s="489"/>
      <c r="E37" s="489"/>
      <c r="F37" s="489"/>
      <c r="G37" s="489"/>
      <c r="H37" s="489"/>
      <c r="I37" s="489"/>
      <c r="J37" s="489"/>
    </row>
    <row r="38" spans="1:10" ht="12.75">
      <c r="A38" s="490"/>
      <c r="B38" s="490"/>
      <c r="C38" s="490"/>
      <c r="D38" s="490"/>
      <c r="E38" s="490"/>
      <c r="F38" s="490"/>
      <c r="G38" s="490"/>
      <c r="H38" s="490"/>
      <c r="I38" s="490"/>
      <c r="J38" s="159"/>
    </row>
    <row r="39" spans="1:10" ht="12.75">
      <c r="A39" s="93"/>
      <c r="B39" s="94" t="s">
        <v>83</v>
      </c>
      <c r="C39" s="94" t="s">
        <v>169</v>
      </c>
      <c r="D39" s="95" t="s">
        <v>174</v>
      </c>
      <c r="E39" s="95" t="s">
        <v>175</v>
      </c>
      <c r="F39" s="94" t="s">
        <v>178</v>
      </c>
      <c r="G39" s="94" t="s">
        <v>178</v>
      </c>
      <c r="H39" s="94" t="s">
        <v>183</v>
      </c>
      <c r="I39" s="94" t="s">
        <v>186</v>
      </c>
      <c r="J39" s="177" t="s">
        <v>189</v>
      </c>
    </row>
    <row r="40" spans="1:10" ht="12.75">
      <c r="A40" s="96" t="s">
        <v>22</v>
      </c>
      <c r="B40" s="97" t="s">
        <v>167</v>
      </c>
      <c r="C40" s="97" t="s">
        <v>170</v>
      </c>
      <c r="D40" s="98"/>
      <c r="E40" s="98"/>
      <c r="F40" s="97" t="s">
        <v>179</v>
      </c>
      <c r="G40" s="97" t="s">
        <v>179</v>
      </c>
      <c r="H40" s="97" t="s">
        <v>184</v>
      </c>
      <c r="I40" s="97" t="s">
        <v>187</v>
      </c>
      <c r="J40" s="178"/>
    </row>
    <row r="41" spans="1:10" ht="12.75">
      <c r="A41" s="99"/>
      <c r="B41" s="97"/>
      <c r="C41" s="97" t="s">
        <v>172</v>
      </c>
      <c r="D41" s="98"/>
      <c r="E41" s="98"/>
      <c r="F41" s="97" t="s">
        <v>180</v>
      </c>
      <c r="G41" s="97" t="s">
        <v>180</v>
      </c>
      <c r="H41" s="97" t="s">
        <v>173</v>
      </c>
      <c r="I41" s="97" t="s">
        <v>188</v>
      </c>
      <c r="J41" s="178"/>
    </row>
    <row r="42" spans="1:10" ht="12.75">
      <c r="A42" s="99"/>
      <c r="B42" s="97"/>
      <c r="C42" s="97" t="s">
        <v>173</v>
      </c>
      <c r="D42" s="98"/>
      <c r="E42" s="98"/>
      <c r="F42" s="97" t="s">
        <v>173</v>
      </c>
      <c r="G42" s="97" t="s">
        <v>190</v>
      </c>
      <c r="H42" s="97"/>
      <c r="I42" s="97"/>
      <c r="J42" s="178"/>
    </row>
    <row r="43" spans="1:10" ht="13.5" thickBot="1">
      <c r="A43" s="171"/>
      <c r="B43" s="179" t="s">
        <v>168</v>
      </c>
      <c r="C43" s="179" t="s">
        <v>171</v>
      </c>
      <c r="D43" s="179" t="s">
        <v>176</v>
      </c>
      <c r="E43" s="179" t="s">
        <v>177</v>
      </c>
      <c r="F43" s="179" t="s">
        <v>181</v>
      </c>
      <c r="G43" s="179" t="s">
        <v>182</v>
      </c>
      <c r="H43" s="179" t="s">
        <v>185</v>
      </c>
      <c r="I43" s="179" t="s">
        <v>185</v>
      </c>
      <c r="J43" s="180"/>
    </row>
    <row r="44" spans="1:10" ht="12.75">
      <c r="A44" s="99" t="s">
        <v>26</v>
      </c>
      <c r="B44" s="100">
        <v>4846</v>
      </c>
      <c r="C44" s="100">
        <v>25175</v>
      </c>
      <c r="D44" s="100">
        <v>8481</v>
      </c>
      <c r="E44" s="100">
        <v>43392</v>
      </c>
      <c r="F44" s="100">
        <v>19866</v>
      </c>
      <c r="G44" s="100">
        <v>8455</v>
      </c>
      <c r="H44" s="100">
        <v>13244</v>
      </c>
      <c r="I44" s="100">
        <v>18476</v>
      </c>
      <c r="J44" s="181">
        <v>30859</v>
      </c>
    </row>
    <row r="45" spans="1:10" ht="12.75">
      <c r="A45" s="99" t="s">
        <v>27</v>
      </c>
      <c r="B45" s="100">
        <v>1202</v>
      </c>
      <c r="C45" s="100">
        <v>8025</v>
      </c>
      <c r="D45" s="100">
        <v>658</v>
      </c>
      <c r="E45" s="100">
        <v>1409</v>
      </c>
      <c r="F45" s="100">
        <v>2703</v>
      </c>
      <c r="G45" s="100">
        <v>875</v>
      </c>
      <c r="H45" s="100">
        <v>906</v>
      </c>
      <c r="I45" s="100">
        <v>2183</v>
      </c>
      <c r="J45" s="181">
        <v>1393</v>
      </c>
    </row>
    <row r="46" spans="1:10" ht="12.75">
      <c r="A46" s="99" t="s">
        <v>28</v>
      </c>
      <c r="B46" s="100">
        <v>1038</v>
      </c>
      <c r="C46" s="100">
        <v>4269</v>
      </c>
      <c r="D46" s="100">
        <v>176</v>
      </c>
      <c r="E46" s="100">
        <v>105</v>
      </c>
      <c r="F46" s="100">
        <v>154</v>
      </c>
      <c r="G46" s="100">
        <v>215</v>
      </c>
      <c r="H46" s="100">
        <v>189</v>
      </c>
      <c r="I46" s="100">
        <v>263</v>
      </c>
      <c r="J46" s="181">
        <v>1771</v>
      </c>
    </row>
    <row r="47" spans="1:10" ht="12.75">
      <c r="A47" s="99" t="s">
        <v>29</v>
      </c>
      <c r="B47" s="100">
        <v>369</v>
      </c>
      <c r="C47" s="100">
        <v>11638</v>
      </c>
      <c r="D47" s="100">
        <v>762</v>
      </c>
      <c r="E47" s="100">
        <v>1711</v>
      </c>
      <c r="F47" s="100">
        <v>1378</v>
      </c>
      <c r="G47" s="100">
        <v>834</v>
      </c>
      <c r="H47" s="100">
        <v>455</v>
      </c>
      <c r="I47" s="100">
        <v>2530</v>
      </c>
      <c r="J47" s="181">
        <v>5662</v>
      </c>
    </row>
    <row r="48" spans="1:10" ht="12.75">
      <c r="A48" s="99" t="s">
        <v>30</v>
      </c>
      <c r="B48" s="100">
        <v>32</v>
      </c>
      <c r="C48" s="100">
        <v>2805</v>
      </c>
      <c r="D48" s="100">
        <v>497</v>
      </c>
      <c r="E48" s="100">
        <v>2911</v>
      </c>
      <c r="F48" s="100">
        <v>92</v>
      </c>
      <c r="G48" s="100">
        <v>163</v>
      </c>
      <c r="H48" s="100">
        <v>292</v>
      </c>
      <c r="I48" s="100">
        <v>202</v>
      </c>
      <c r="J48" s="181">
        <v>2177</v>
      </c>
    </row>
    <row r="49" spans="1:10" ht="12.75">
      <c r="A49" s="99" t="s">
        <v>31</v>
      </c>
      <c r="B49" s="100">
        <v>1</v>
      </c>
      <c r="C49" s="100">
        <v>629</v>
      </c>
      <c r="D49" s="100">
        <v>213</v>
      </c>
      <c r="E49" s="100">
        <v>1994</v>
      </c>
      <c r="F49" s="100">
        <v>37</v>
      </c>
      <c r="G49" s="100">
        <v>24</v>
      </c>
      <c r="H49" s="100">
        <v>36</v>
      </c>
      <c r="I49" s="100">
        <v>140</v>
      </c>
      <c r="J49" s="181">
        <v>2504</v>
      </c>
    </row>
    <row r="50" spans="1:10" ht="12.75">
      <c r="A50" s="99" t="s">
        <v>32</v>
      </c>
      <c r="B50" s="100">
        <v>25</v>
      </c>
      <c r="C50" s="100">
        <v>3781</v>
      </c>
      <c r="D50" s="100">
        <v>3524</v>
      </c>
      <c r="E50" s="100">
        <v>6337</v>
      </c>
      <c r="F50" s="100">
        <v>349</v>
      </c>
      <c r="G50" s="100">
        <v>255</v>
      </c>
      <c r="H50" s="100">
        <v>1871</v>
      </c>
      <c r="I50" s="100">
        <v>1157</v>
      </c>
      <c r="J50" s="181">
        <v>6297</v>
      </c>
    </row>
    <row r="51" spans="1:10" ht="12.75">
      <c r="A51" s="99" t="s">
        <v>33</v>
      </c>
      <c r="B51" s="100">
        <v>172</v>
      </c>
      <c r="C51" s="100">
        <v>2340</v>
      </c>
      <c r="D51" s="100">
        <v>4978</v>
      </c>
      <c r="E51" s="100">
        <v>4605</v>
      </c>
      <c r="F51" s="100">
        <v>402</v>
      </c>
      <c r="G51" s="100">
        <v>848</v>
      </c>
      <c r="H51" s="100">
        <v>1068</v>
      </c>
      <c r="I51" s="100">
        <v>2111</v>
      </c>
      <c r="J51" s="181">
        <v>4077</v>
      </c>
    </row>
    <row r="52" spans="1:10" ht="12.75">
      <c r="A52" s="99" t="s">
        <v>34</v>
      </c>
      <c r="B52" s="100">
        <v>27</v>
      </c>
      <c r="C52" s="100">
        <v>609</v>
      </c>
      <c r="D52" s="100">
        <v>392</v>
      </c>
      <c r="E52" s="100">
        <v>2648</v>
      </c>
      <c r="F52" s="100">
        <v>536</v>
      </c>
      <c r="G52" s="100">
        <v>249</v>
      </c>
      <c r="H52" s="100">
        <v>447</v>
      </c>
      <c r="I52" s="100">
        <v>1270</v>
      </c>
      <c r="J52" s="181">
        <v>931</v>
      </c>
    </row>
    <row r="53" spans="1:10" ht="12.75">
      <c r="A53" s="99" t="s">
        <v>35</v>
      </c>
      <c r="B53" s="100">
        <v>497</v>
      </c>
      <c r="C53" s="100">
        <v>17648</v>
      </c>
      <c r="D53" s="100">
        <v>6160</v>
      </c>
      <c r="E53" s="100">
        <v>8912</v>
      </c>
      <c r="F53" s="100">
        <v>1708</v>
      </c>
      <c r="G53" s="100">
        <v>1650</v>
      </c>
      <c r="H53" s="100">
        <v>6323</v>
      </c>
      <c r="I53" s="100">
        <v>5623</v>
      </c>
      <c r="J53" s="181">
        <v>18472</v>
      </c>
    </row>
    <row r="54" spans="1:10" ht="12.75">
      <c r="A54" s="99" t="s">
        <v>36</v>
      </c>
      <c r="B54" s="100">
        <v>16</v>
      </c>
      <c r="C54" s="98">
        <v>1012</v>
      </c>
      <c r="D54" s="100">
        <v>112</v>
      </c>
      <c r="E54" s="100">
        <v>1200</v>
      </c>
      <c r="F54" s="100">
        <v>29</v>
      </c>
      <c r="G54" s="100">
        <v>20</v>
      </c>
      <c r="H54" s="100">
        <v>92</v>
      </c>
      <c r="I54" s="100">
        <v>131</v>
      </c>
      <c r="J54" s="181">
        <v>2046</v>
      </c>
    </row>
    <row r="55" spans="1:10" ht="12.75">
      <c r="A55" s="99" t="s">
        <v>37</v>
      </c>
      <c r="B55" s="100">
        <v>36</v>
      </c>
      <c r="C55" s="100">
        <v>7748</v>
      </c>
      <c r="D55" s="100">
        <v>1772</v>
      </c>
      <c r="E55" s="100">
        <v>17963</v>
      </c>
      <c r="F55" s="100">
        <v>815</v>
      </c>
      <c r="G55" s="100">
        <v>279</v>
      </c>
      <c r="H55" s="100">
        <v>1584</v>
      </c>
      <c r="I55" s="100">
        <v>1813</v>
      </c>
      <c r="J55" s="181">
        <v>15402</v>
      </c>
    </row>
    <row r="56" spans="1:10" ht="12.75">
      <c r="A56" s="99" t="s">
        <v>38</v>
      </c>
      <c r="B56" s="100">
        <v>10</v>
      </c>
      <c r="C56" s="100">
        <v>1515</v>
      </c>
      <c r="D56" s="100">
        <v>1951</v>
      </c>
      <c r="E56" s="100">
        <v>7031</v>
      </c>
      <c r="F56" s="100">
        <v>128</v>
      </c>
      <c r="G56" s="100">
        <v>142</v>
      </c>
      <c r="H56" s="100">
        <v>115</v>
      </c>
      <c r="I56" s="100">
        <v>1484</v>
      </c>
      <c r="J56" s="181">
        <v>13309</v>
      </c>
    </row>
    <row r="57" spans="1:10" ht="12.75">
      <c r="A57" s="99" t="s">
        <v>39</v>
      </c>
      <c r="B57" s="100">
        <v>6</v>
      </c>
      <c r="C57" s="100">
        <v>1318</v>
      </c>
      <c r="D57" s="100">
        <v>1208</v>
      </c>
      <c r="E57" s="100">
        <v>1382</v>
      </c>
      <c r="F57" s="100">
        <v>83</v>
      </c>
      <c r="G57" s="100">
        <v>130</v>
      </c>
      <c r="H57" s="100">
        <v>178</v>
      </c>
      <c r="I57" s="100">
        <v>722</v>
      </c>
      <c r="J57" s="181">
        <v>4588</v>
      </c>
    </row>
    <row r="58" spans="1:10" ht="12.75">
      <c r="A58" s="99" t="s">
        <v>40</v>
      </c>
      <c r="B58" s="100">
        <v>81</v>
      </c>
      <c r="C58" s="100">
        <v>8526</v>
      </c>
      <c r="D58" s="100">
        <v>2522</v>
      </c>
      <c r="E58" s="100">
        <v>6305</v>
      </c>
      <c r="F58" s="100">
        <v>1370</v>
      </c>
      <c r="G58" s="100">
        <v>1529</v>
      </c>
      <c r="H58" s="100">
        <v>1488</v>
      </c>
      <c r="I58" s="100">
        <v>4496</v>
      </c>
      <c r="J58" s="181">
        <v>5095</v>
      </c>
    </row>
    <row r="59" spans="1:10" ht="12.75">
      <c r="A59" s="99" t="s">
        <v>41</v>
      </c>
      <c r="B59" s="100">
        <v>69</v>
      </c>
      <c r="C59" s="100">
        <v>9410</v>
      </c>
      <c r="D59" s="100">
        <v>3337</v>
      </c>
      <c r="E59" s="100">
        <v>17011</v>
      </c>
      <c r="F59" s="100">
        <v>891</v>
      </c>
      <c r="G59" s="100">
        <v>1343</v>
      </c>
      <c r="H59" s="100">
        <v>1621</v>
      </c>
      <c r="I59" s="100">
        <v>3736</v>
      </c>
      <c r="J59" s="181">
        <v>14130</v>
      </c>
    </row>
    <row r="60" spans="1:10" ht="12.75">
      <c r="A60" s="99" t="s">
        <v>42</v>
      </c>
      <c r="B60" s="100">
        <v>64</v>
      </c>
      <c r="C60" s="100">
        <v>2077</v>
      </c>
      <c r="D60" s="100">
        <v>459</v>
      </c>
      <c r="E60" s="100">
        <v>3859</v>
      </c>
      <c r="F60" s="100">
        <v>335</v>
      </c>
      <c r="G60" s="100">
        <v>283</v>
      </c>
      <c r="H60" s="100">
        <v>595</v>
      </c>
      <c r="I60" s="100">
        <v>832</v>
      </c>
      <c r="J60" s="181">
        <v>2827</v>
      </c>
    </row>
    <row r="61" spans="1:10" s="7" customFormat="1" ht="12.75">
      <c r="A61" s="372" t="s">
        <v>227</v>
      </c>
      <c r="B61" s="163" t="s">
        <v>142</v>
      </c>
      <c r="C61" s="78">
        <v>2</v>
      </c>
      <c r="D61" s="78">
        <v>1</v>
      </c>
      <c r="E61" s="163" t="s">
        <v>142</v>
      </c>
      <c r="F61" s="163" t="s">
        <v>142</v>
      </c>
      <c r="G61" s="163">
        <v>1</v>
      </c>
      <c r="H61" s="163" t="s">
        <v>142</v>
      </c>
      <c r="I61" s="163">
        <v>1</v>
      </c>
      <c r="J61" s="7">
        <v>7</v>
      </c>
    </row>
    <row r="62" spans="1:10" s="7" customFormat="1" ht="12.75">
      <c r="A62" s="372" t="s">
        <v>228</v>
      </c>
      <c r="B62" s="163" t="s">
        <v>142</v>
      </c>
      <c r="C62" s="78">
        <v>1</v>
      </c>
      <c r="D62" s="163" t="s">
        <v>142</v>
      </c>
      <c r="E62" s="78">
        <v>2</v>
      </c>
      <c r="F62" s="78">
        <v>1</v>
      </c>
      <c r="G62" s="163">
        <v>2</v>
      </c>
      <c r="H62" s="163" t="s">
        <v>142</v>
      </c>
      <c r="I62" s="163">
        <v>1</v>
      </c>
      <c r="J62" s="7">
        <v>23</v>
      </c>
    </row>
    <row r="63" spans="1:10" ht="12.75">
      <c r="A63" s="99"/>
      <c r="B63" s="98"/>
      <c r="C63" s="98"/>
      <c r="D63" s="98"/>
      <c r="E63" s="98"/>
      <c r="F63" s="98"/>
      <c r="G63" s="98"/>
      <c r="H63" s="98"/>
      <c r="I63" s="98"/>
      <c r="J63" s="182"/>
    </row>
    <row r="64" spans="1:10" ht="13.5" thickBot="1">
      <c r="A64" s="173" t="s">
        <v>200</v>
      </c>
      <c r="B64" s="174">
        <f>SUM(B44:B63)</f>
        <v>8491</v>
      </c>
      <c r="C64" s="174">
        <f aca="true" t="shared" si="1" ref="C64:J64">SUM(C44:C63)</f>
        <v>108528</v>
      </c>
      <c r="D64" s="174">
        <f t="shared" si="1"/>
        <v>37203</v>
      </c>
      <c r="E64" s="174">
        <f t="shared" si="1"/>
        <v>128777</v>
      </c>
      <c r="F64" s="174">
        <f t="shared" si="1"/>
        <v>30877</v>
      </c>
      <c r="G64" s="174">
        <f t="shared" si="1"/>
        <v>17297</v>
      </c>
      <c r="H64" s="174">
        <f t="shared" si="1"/>
        <v>30504</v>
      </c>
      <c r="I64" s="174">
        <f t="shared" si="1"/>
        <v>47171</v>
      </c>
      <c r="J64" s="183">
        <f t="shared" si="1"/>
        <v>131570</v>
      </c>
    </row>
    <row r="65" spans="1:10" ht="12.75">
      <c r="A65" s="200" t="s">
        <v>230</v>
      </c>
      <c r="B65" s="6"/>
      <c r="C65" s="6"/>
      <c r="D65" s="6"/>
      <c r="E65" s="6"/>
      <c r="F65" s="176"/>
      <c r="G65" s="176"/>
      <c r="H65" s="176"/>
      <c r="I65" s="176"/>
      <c r="J65" s="176"/>
    </row>
    <row r="66" spans="1:10" ht="12.75">
      <c r="A66" s="175" t="s">
        <v>270</v>
      </c>
      <c r="F66" s="6"/>
      <c r="J66" s="175"/>
    </row>
  </sheetData>
  <mergeCells count="5">
    <mergeCell ref="A1:J1"/>
    <mergeCell ref="A3:J3"/>
    <mergeCell ref="A37:J37"/>
    <mergeCell ref="A38:I38"/>
    <mergeCell ref="A4:I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2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35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6384" width="19.140625" style="2" customWidth="1"/>
  </cols>
  <sheetData>
    <row r="1" spans="1:9" ht="18">
      <c r="A1" s="426" t="s">
        <v>139</v>
      </c>
      <c r="B1" s="426"/>
      <c r="C1" s="426"/>
      <c r="D1" s="426"/>
      <c r="E1" s="426"/>
      <c r="F1" s="426"/>
      <c r="G1" s="426"/>
      <c r="H1" s="426"/>
      <c r="I1" s="426"/>
    </row>
    <row r="2" spans="1:9" ht="18">
      <c r="A2" s="121"/>
      <c r="B2" s="121"/>
      <c r="C2" s="121"/>
      <c r="D2" s="121"/>
      <c r="E2" s="121"/>
      <c r="F2" s="121"/>
      <c r="G2" s="121"/>
      <c r="H2" s="121"/>
      <c r="I2" s="121"/>
    </row>
    <row r="3" spans="1:9" ht="15">
      <c r="A3" s="493" t="s">
        <v>223</v>
      </c>
      <c r="B3" s="493"/>
      <c r="C3" s="493"/>
      <c r="D3" s="493"/>
      <c r="E3" s="493"/>
      <c r="F3" s="493"/>
      <c r="G3" s="493"/>
      <c r="H3" s="493"/>
      <c r="I3" s="493"/>
    </row>
    <row r="4" spans="1:9" ht="15">
      <c r="A4" s="493" t="s">
        <v>256</v>
      </c>
      <c r="B4" s="493"/>
      <c r="C4" s="493"/>
      <c r="D4" s="493"/>
      <c r="E4" s="493"/>
      <c r="F4" s="493"/>
      <c r="G4" s="493"/>
      <c r="H4" s="493"/>
      <c r="I4" s="493"/>
    </row>
    <row r="6" spans="1:9" ht="12.75">
      <c r="A6" s="184"/>
      <c r="B6" s="491" t="s">
        <v>54</v>
      </c>
      <c r="C6" s="492"/>
      <c r="D6" s="491" t="s">
        <v>103</v>
      </c>
      <c r="E6" s="492"/>
      <c r="F6" s="400" t="s">
        <v>102</v>
      </c>
      <c r="G6" s="405"/>
      <c r="H6" s="405"/>
      <c r="I6" s="405"/>
    </row>
    <row r="7" spans="1:9" ht="12.75">
      <c r="A7" s="102" t="s">
        <v>22</v>
      </c>
      <c r="B7" s="103"/>
      <c r="C7" s="103"/>
      <c r="D7" s="105"/>
      <c r="E7" s="102"/>
      <c r="F7" s="400" t="s">
        <v>104</v>
      </c>
      <c r="G7" s="406"/>
      <c r="H7" s="400" t="s">
        <v>105</v>
      </c>
      <c r="I7" s="405"/>
    </row>
    <row r="8" spans="1:9" ht="13.5" thickBot="1">
      <c r="A8" s="186"/>
      <c r="B8" s="185" t="s">
        <v>58</v>
      </c>
      <c r="C8" s="185" t="s">
        <v>106</v>
      </c>
      <c r="D8" s="185" t="s">
        <v>58</v>
      </c>
      <c r="E8" s="191" t="s">
        <v>106</v>
      </c>
      <c r="F8" s="185" t="s">
        <v>58</v>
      </c>
      <c r="G8" s="185" t="s">
        <v>106</v>
      </c>
      <c r="H8" s="185" t="s">
        <v>58</v>
      </c>
      <c r="I8" s="187" t="s">
        <v>106</v>
      </c>
    </row>
    <row r="9" spans="1:9" ht="12.75">
      <c r="A9" s="104" t="s">
        <v>26</v>
      </c>
      <c r="B9" s="108">
        <v>270053</v>
      </c>
      <c r="C9" s="108">
        <v>193572</v>
      </c>
      <c r="D9" s="108">
        <v>263034</v>
      </c>
      <c r="E9" s="108">
        <v>184145</v>
      </c>
      <c r="F9" s="108">
        <v>8086</v>
      </c>
      <c r="G9" s="108">
        <v>5643</v>
      </c>
      <c r="H9" s="108">
        <v>47007</v>
      </c>
      <c r="I9" s="109">
        <v>3786</v>
      </c>
    </row>
    <row r="10" spans="1:9" ht="12.75">
      <c r="A10" s="104" t="s">
        <v>27</v>
      </c>
      <c r="B10" s="108">
        <v>43510</v>
      </c>
      <c r="C10" s="108">
        <v>40260</v>
      </c>
      <c r="D10" s="108">
        <v>42466</v>
      </c>
      <c r="E10" s="108">
        <v>38203</v>
      </c>
      <c r="F10" s="108">
        <v>1220</v>
      </c>
      <c r="G10" s="108">
        <v>1747</v>
      </c>
      <c r="H10" s="108">
        <v>4249</v>
      </c>
      <c r="I10" s="109">
        <v>309</v>
      </c>
    </row>
    <row r="11" spans="1:9" ht="12.75">
      <c r="A11" s="104" t="s">
        <v>28</v>
      </c>
      <c r="B11" s="108">
        <v>18461</v>
      </c>
      <c r="C11" s="108">
        <v>16896</v>
      </c>
      <c r="D11" s="108">
        <v>17224</v>
      </c>
      <c r="E11" s="108">
        <v>15092</v>
      </c>
      <c r="F11" s="108">
        <v>1490</v>
      </c>
      <c r="G11" s="108">
        <v>1609</v>
      </c>
      <c r="H11" s="108">
        <v>3131</v>
      </c>
      <c r="I11" s="109">
        <v>194</v>
      </c>
    </row>
    <row r="12" spans="1:9" ht="12.75">
      <c r="A12" s="104" t="s">
        <v>29</v>
      </c>
      <c r="B12" s="108">
        <v>39956</v>
      </c>
      <c r="C12" s="108">
        <v>28303</v>
      </c>
      <c r="D12" s="108">
        <v>38021</v>
      </c>
      <c r="E12" s="108">
        <v>25314</v>
      </c>
      <c r="F12" s="108">
        <v>2161</v>
      </c>
      <c r="G12" s="108">
        <v>2310</v>
      </c>
      <c r="H12" s="108">
        <v>2857</v>
      </c>
      <c r="I12" s="109">
        <v>679</v>
      </c>
    </row>
    <row r="13" spans="1:9" ht="12.75">
      <c r="A13" s="104" t="s">
        <v>30</v>
      </c>
      <c r="B13" s="108">
        <v>25406</v>
      </c>
      <c r="C13" s="108">
        <v>16445</v>
      </c>
      <c r="D13" s="108">
        <v>23583</v>
      </c>
      <c r="E13" s="108">
        <v>11786</v>
      </c>
      <c r="F13" s="108">
        <v>2417</v>
      </c>
      <c r="G13" s="108">
        <v>2895</v>
      </c>
      <c r="H13" s="108">
        <v>3260</v>
      </c>
      <c r="I13" s="109">
        <v>1765</v>
      </c>
    </row>
    <row r="14" spans="1:9" ht="12.75">
      <c r="A14" s="104" t="s">
        <v>31</v>
      </c>
      <c r="B14" s="108">
        <v>19415</v>
      </c>
      <c r="C14" s="108">
        <v>13080</v>
      </c>
      <c r="D14" s="108">
        <v>18223</v>
      </c>
      <c r="E14" s="108">
        <v>9608</v>
      </c>
      <c r="F14" s="108">
        <v>1408</v>
      </c>
      <c r="G14" s="108">
        <v>2259</v>
      </c>
      <c r="H14" s="108">
        <v>5179</v>
      </c>
      <c r="I14" s="109">
        <v>1214</v>
      </c>
    </row>
    <row r="15" spans="1:9" ht="12.75">
      <c r="A15" s="104" t="s">
        <v>32</v>
      </c>
      <c r="B15" s="108">
        <v>80021</v>
      </c>
      <c r="C15" s="108">
        <v>46323</v>
      </c>
      <c r="D15" s="108">
        <v>74544</v>
      </c>
      <c r="E15" s="108">
        <v>33876</v>
      </c>
      <c r="F15" s="108">
        <v>6564</v>
      </c>
      <c r="G15" s="108">
        <v>8412</v>
      </c>
      <c r="H15" s="108">
        <v>15155</v>
      </c>
      <c r="I15" s="109">
        <v>4035</v>
      </c>
    </row>
    <row r="16" spans="1:9" ht="12.75">
      <c r="A16" s="104" t="s">
        <v>33</v>
      </c>
      <c r="B16" s="108">
        <v>77839</v>
      </c>
      <c r="C16" s="108">
        <v>75647</v>
      </c>
      <c r="D16" s="108">
        <v>72173</v>
      </c>
      <c r="E16" s="108">
        <v>51752</v>
      </c>
      <c r="F16" s="108">
        <v>8186</v>
      </c>
      <c r="G16" s="108">
        <v>15540</v>
      </c>
      <c r="H16" s="108">
        <v>20345</v>
      </c>
      <c r="I16" s="109">
        <v>8355</v>
      </c>
    </row>
    <row r="17" spans="1:9" ht="12.75">
      <c r="A17" s="104" t="s">
        <v>34</v>
      </c>
      <c r="B17" s="108">
        <v>19788</v>
      </c>
      <c r="C17" s="108">
        <v>13175</v>
      </c>
      <c r="D17" s="108">
        <v>18915</v>
      </c>
      <c r="E17" s="108">
        <v>9878</v>
      </c>
      <c r="F17" s="108">
        <v>1530</v>
      </c>
      <c r="G17" s="108">
        <v>2433</v>
      </c>
      <c r="H17" s="108">
        <v>5185</v>
      </c>
      <c r="I17" s="109">
        <v>866</v>
      </c>
    </row>
    <row r="18" spans="1:9" ht="12.75">
      <c r="A18" s="104" t="s">
        <v>35</v>
      </c>
      <c r="B18" s="108">
        <v>175454</v>
      </c>
      <c r="C18" s="108">
        <v>100874</v>
      </c>
      <c r="D18" s="108">
        <v>165357</v>
      </c>
      <c r="E18" s="108">
        <v>81459</v>
      </c>
      <c r="F18" s="108">
        <v>13497</v>
      </c>
      <c r="G18" s="108">
        <v>15255</v>
      </c>
      <c r="H18" s="108">
        <v>17874</v>
      </c>
      <c r="I18" s="109">
        <v>4160</v>
      </c>
    </row>
    <row r="19" spans="1:9" ht="12.75">
      <c r="A19" s="104" t="s">
        <v>36</v>
      </c>
      <c r="B19" s="108">
        <v>16939</v>
      </c>
      <c r="C19" s="108">
        <v>8172</v>
      </c>
      <c r="D19" s="108">
        <v>15994</v>
      </c>
      <c r="E19" s="108">
        <v>4896</v>
      </c>
      <c r="F19" s="108">
        <v>1398</v>
      </c>
      <c r="G19" s="108">
        <v>2382</v>
      </c>
      <c r="H19" s="108">
        <v>4480</v>
      </c>
      <c r="I19" s="109">
        <v>894</v>
      </c>
    </row>
    <row r="20" spans="1:9" ht="12.75">
      <c r="A20" s="104" t="s">
        <v>37</v>
      </c>
      <c r="B20" s="108">
        <v>197668</v>
      </c>
      <c r="C20" s="108">
        <v>93340</v>
      </c>
      <c r="D20" s="108">
        <v>190459</v>
      </c>
      <c r="E20" s="108">
        <v>59024</v>
      </c>
      <c r="F20" s="108">
        <v>12300</v>
      </c>
      <c r="G20" s="108">
        <v>17958</v>
      </c>
      <c r="H20" s="108">
        <v>86944</v>
      </c>
      <c r="I20" s="109">
        <v>16359</v>
      </c>
    </row>
    <row r="21" spans="1:9" ht="12.75">
      <c r="A21" s="104" t="s">
        <v>38</v>
      </c>
      <c r="B21" s="108">
        <v>227676</v>
      </c>
      <c r="C21" s="108">
        <v>84659</v>
      </c>
      <c r="D21" s="108">
        <v>222454</v>
      </c>
      <c r="E21" s="108">
        <v>56726</v>
      </c>
      <c r="F21" s="108">
        <v>8078</v>
      </c>
      <c r="G21" s="108">
        <v>8574</v>
      </c>
      <c r="H21" s="108">
        <v>110092</v>
      </c>
      <c r="I21" s="109">
        <v>19359</v>
      </c>
    </row>
    <row r="22" spans="1:9" ht="12.75">
      <c r="A22" s="104" t="s">
        <v>39</v>
      </c>
      <c r="B22" s="108">
        <v>59974</v>
      </c>
      <c r="C22" s="108">
        <v>53822</v>
      </c>
      <c r="D22" s="108">
        <v>58099</v>
      </c>
      <c r="E22" s="108">
        <v>19872</v>
      </c>
      <c r="F22" s="108">
        <v>2631</v>
      </c>
      <c r="G22" s="108">
        <v>6139</v>
      </c>
      <c r="H22" s="108">
        <v>28113</v>
      </c>
      <c r="I22" s="109">
        <v>27813</v>
      </c>
    </row>
    <row r="23" spans="1:9" ht="12.75">
      <c r="A23" s="104" t="s">
        <v>40</v>
      </c>
      <c r="B23" s="108">
        <v>110891</v>
      </c>
      <c r="C23" s="108">
        <v>68428</v>
      </c>
      <c r="D23" s="108">
        <v>107838</v>
      </c>
      <c r="E23" s="108">
        <v>41909</v>
      </c>
      <c r="F23" s="108">
        <v>5275</v>
      </c>
      <c r="G23" s="108">
        <v>8698</v>
      </c>
      <c r="H23" s="108">
        <v>37950</v>
      </c>
      <c r="I23" s="109">
        <v>17821</v>
      </c>
    </row>
    <row r="24" spans="1:9" ht="12.75">
      <c r="A24" s="104" t="s">
        <v>41</v>
      </c>
      <c r="B24" s="108">
        <v>369768</v>
      </c>
      <c r="C24" s="108">
        <v>288285</v>
      </c>
      <c r="D24" s="108">
        <v>356480</v>
      </c>
      <c r="E24" s="108">
        <v>138886</v>
      </c>
      <c r="F24" s="108">
        <v>20152</v>
      </c>
      <c r="G24" s="108">
        <v>30283</v>
      </c>
      <c r="H24" s="108">
        <v>164565</v>
      </c>
      <c r="I24" s="109">
        <v>119117</v>
      </c>
    </row>
    <row r="25" spans="1:9" ht="12.75">
      <c r="A25" s="104" t="s">
        <v>42</v>
      </c>
      <c r="B25" s="108">
        <v>37295</v>
      </c>
      <c r="C25" s="108">
        <v>47639</v>
      </c>
      <c r="D25" s="108">
        <v>35676</v>
      </c>
      <c r="E25" s="108">
        <v>22868</v>
      </c>
      <c r="F25" s="108">
        <v>5250</v>
      </c>
      <c r="G25" s="108">
        <v>17246</v>
      </c>
      <c r="H25" s="108">
        <v>7343</v>
      </c>
      <c r="I25" s="109">
        <v>7525</v>
      </c>
    </row>
    <row r="26" spans="1:9" s="7" customFormat="1" ht="12.75">
      <c r="A26" s="372" t="s">
        <v>227</v>
      </c>
      <c r="B26" s="87">
        <v>15</v>
      </c>
      <c r="C26" s="78">
        <v>6</v>
      </c>
      <c r="D26" s="78">
        <v>11</v>
      </c>
      <c r="E26" s="78">
        <v>6</v>
      </c>
      <c r="F26" s="78">
        <v>4</v>
      </c>
      <c r="G26" s="163" t="s">
        <v>142</v>
      </c>
      <c r="H26" s="163" t="s">
        <v>142</v>
      </c>
      <c r="I26" s="268" t="s">
        <v>142</v>
      </c>
    </row>
    <row r="27" spans="1:9" s="7" customFormat="1" ht="12.75">
      <c r="A27" s="372" t="s">
        <v>228</v>
      </c>
      <c r="B27" s="87">
        <v>33</v>
      </c>
      <c r="C27" s="78">
        <v>9</v>
      </c>
      <c r="D27" s="78">
        <v>27</v>
      </c>
      <c r="E27" s="78">
        <v>4</v>
      </c>
      <c r="F27" s="78">
        <v>7</v>
      </c>
      <c r="G27" s="163">
        <v>3</v>
      </c>
      <c r="H27" s="163">
        <v>2</v>
      </c>
      <c r="I27" s="109">
        <v>2</v>
      </c>
    </row>
    <row r="28" spans="1:9" ht="12.75">
      <c r="A28" s="104"/>
      <c r="B28" s="103"/>
      <c r="C28" s="103"/>
      <c r="D28" s="103"/>
      <c r="E28" s="103"/>
      <c r="F28" s="103"/>
      <c r="G28" s="103"/>
      <c r="H28" s="103"/>
      <c r="I28" s="110"/>
    </row>
    <row r="29" spans="1:9" ht="13.5" thickBot="1">
      <c r="A29" s="188" t="s">
        <v>200</v>
      </c>
      <c r="B29" s="189">
        <f aca="true" t="shared" si="0" ref="B29:I29">SUM(B9:B28)</f>
        <v>1790162</v>
      </c>
      <c r="C29" s="189">
        <f t="shared" si="0"/>
        <v>1188935</v>
      </c>
      <c r="D29" s="189">
        <f t="shared" si="0"/>
        <v>1720578</v>
      </c>
      <c r="E29" s="189">
        <f t="shared" si="0"/>
        <v>805304</v>
      </c>
      <c r="F29" s="189">
        <f t="shared" si="0"/>
        <v>101654</v>
      </c>
      <c r="G29" s="189">
        <f t="shared" si="0"/>
        <v>149386</v>
      </c>
      <c r="H29" s="189">
        <f t="shared" si="0"/>
        <v>563731</v>
      </c>
      <c r="I29" s="190">
        <f t="shared" si="0"/>
        <v>234253</v>
      </c>
    </row>
    <row r="30" ht="12.75">
      <c r="A30" s="200" t="s">
        <v>230</v>
      </c>
    </row>
    <row r="31" ht="12.75">
      <c r="A31" s="373" t="s">
        <v>269</v>
      </c>
    </row>
    <row r="32" ht="12.75">
      <c r="A32" s="373"/>
    </row>
    <row r="33" ht="12.75">
      <c r="A33" s="373"/>
    </row>
    <row r="34" ht="12.75">
      <c r="A34" s="373"/>
    </row>
    <row r="35" ht="12.75">
      <c r="A35" s="373"/>
    </row>
  </sheetData>
  <mergeCells count="8">
    <mergeCell ref="A1:I1"/>
    <mergeCell ref="B6:C6"/>
    <mergeCell ref="D6:E6"/>
    <mergeCell ref="F7:G7"/>
    <mergeCell ref="H7:I7"/>
    <mergeCell ref="F6:I6"/>
    <mergeCell ref="A4:I4"/>
    <mergeCell ref="A3:I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P30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38.140625" style="0" customWidth="1"/>
    <col min="2" max="2" width="10.57421875" style="0" customWidth="1"/>
    <col min="3" max="4" width="9.57421875" style="0" customWidth="1"/>
    <col min="5" max="6" width="9.7109375" style="0" customWidth="1"/>
    <col min="7" max="7" width="13.00390625" style="0" customWidth="1"/>
    <col min="8" max="8" width="13.57421875" style="0" customWidth="1"/>
    <col min="9" max="9" width="12.00390625" style="0" customWidth="1"/>
    <col min="10" max="10" width="17.8515625" style="0" customWidth="1"/>
    <col min="11" max="11" width="16.140625" style="0" customWidth="1"/>
    <col min="12" max="12" width="8.140625" style="0" customWidth="1"/>
    <col min="13" max="13" width="7.28125" style="0" customWidth="1"/>
    <col min="14" max="15" width="9.00390625" style="0" customWidth="1"/>
    <col min="16" max="16" width="8.7109375" style="0" customWidth="1"/>
    <col min="17" max="17" width="9.57421875" style="0" customWidth="1"/>
    <col min="18" max="18" width="8.57421875" style="0" customWidth="1"/>
  </cols>
  <sheetData>
    <row r="1" spans="1:11" ht="18">
      <c r="A1" s="426" t="s">
        <v>139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1" ht="18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6" s="399" customFormat="1" ht="15">
      <c r="A3" s="494" t="s">
        <v>280</v>
      </c>
      <c r="B3" s="494"/>
      <c r="C3" s="494"/>
      <c r="D3" s="494"/>
      <c r="E3" s="494"/>
      <c r="F3" s="494"/>
      <c r="G3" s="494"/>
      <c r="H3" s="494"/>
      <c r="I3" s="494"/>
      <c r="J3" s="494"/>
      <c r="K3" s="397"/>
      <c r="L3" s="398"/>
      <c r="M3" s="398"/>
      <c r="N3" s="398"/>
      <c r="O3" s="398"/>
      <c r="P3" s="398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101"/>
      <c r="B5" s="111" t="s">
        <v>183</v>
      </c>
      <c r="C5" s="111" t="s">
        <v>86</v>
      </c>
      <c r="D5" s="111" t="s">
        <v>81</v>
      </c>
      <c r="E5" s="111" t="s">
        <v>192</v>
      </c>
      <c r="F5" s="111" t="s">
        <v>193</v>
      </c>
      <c r="G5" s="111" t="s">
        <v>175</v>
      </c>
      <c r="H5" s="111" t="s">
        <v>178</v>
      </c>
      <c r="I5" s="111" t="s">
        <v>81</v>
      </c>
      <c r="J5" s="111" t="s">
        <v>196</v>
      </c>
      <c r="K5" s="112" t="s">
        <v>194</v>
      </c>
      <c r="L5" s="2"/>
      <c r="M5" s="2"/>
      <c r="N5" s="2"/>
      <c r="O5" s="2"/>
      <c r="P5" s="2"/>
    </row>
    <row r="6" spans="1:13" ht="12.75">
      <c r="A6" s="102" t="s">
        <v>225</v>
      </c>
      <c r="B6" s="105" t="s">
        <v>191</v>
      </c>
      <c r="C6" s="105"/>
      <c r="D6" s="105" t="s">
        <v>90</v>
      </c>
      <c r="E6" s="105"/>
      <c r="F6" s="97"/>
      <c r="G6" s="105"/>
      <c r="H6" s="97" t="s">
        <v>179</v>
      </c>
      <c r="I6" s="97" t="s">
        <v>198</v>
      </c>
      <c r="J6" s="107" t="s">
        <v>197</v>
      </c>
      <c r="K6" s="107" t="s">
        <v>78</v>
      </c>
      <c r="L6" s="2"/>
      <c r="M6" s="2"/>
    </row>
    <row r="7" spans="1:13" ht="13.5" thickBot="1">
      <c r="A7" s="186"/>
      <c r="B7" s="185" t="s">
        <v>107</v>
      </c>
      <c r="C7" s="185" t="s">
        <v>108</v>
      </c>
      <c r="D7" s="185" t="s">
        <v>109</v>
      </c>
      <c r="E7" s="185" t="s">
        <v>110</v>
      </c>
      <c r="F7" s="185" t="s">
        <v>111</v>
      </c>
      <c r="G7" s="185" t="s">
        <v>112</v>
      </c>
      <c r="H7" s="185" t="s">
        <v>113</v>
      </c>
      <c r="I7" s="185" t="s">
        <v>114</v>
      </c>
      <c r="J7" s="187"/>
      <c r="K7" s="187" t="s">
        <v>195</v>
      </c>
      <c r="M7" s="2"/>
    </row>
    <row r="8" spans="1:13" s="377" customFormat="1" ht="12.75">
      <c r="A8" s="192" t="s">
        <v>224</v>
      </c>
      <c r="B8" s="378">
        <f>1410080/1000</f>
        <v>1410.08</v>
      </c>
      <c r="C8" s="378">
        <f>186170/1000</f>
        <v>186.17</v>
      </c>
      <c r="D8" s="378">
        <f>2405653/1000</f>
        <v>2405.653</v>
      </c>
      <c r="E8" s="378">
        <f>1459790/1000</f>
        <v>1459.79</v>
      </c>
      <c r="F8" s="378">
        <f>100520/1000</f>
        <v>100.52</v>
      </c>
      <c r="G8" s="378">
        <f>536840/1000</f>
        <v>536.84</v>
      </c>
      <c r="H8" s="378">
        <f>180210/1000</f>
        <v>180.21</v>
      </c>
      <c r="I8" s="378">
        <f>441950/1000</f>
        <v>441.95</v>
      </c>
      <c r="J8" s="379">
        <f>49630/1000</f>
        <v>49.63</v>
      </c>
      <c r="K8" s="380">
        <f>SUM(B8:J8)</f>
        <v>6770.843</v>
      </c>
      <c r="M8" s="194"/>
    </row>
    <row r="9" spans="1:13" ht="12.75">
      <c r="A9" s="104" t="s">
        <v>115</v>
      </c>
      <c r="B9" s="381">
        <f>111750/1000</f>
        <v>111.75</v>
      </c>
      <c r="C9" s="381">
        <f>11050/1000</f>
        <v>11.05</v>
      </c>
      <c r="D9" s="381">
        <f>42600/1000</f>
        <v>42.6</v>
      </c>
      <c r="E9" s="381">
        <f>171510/1000</f>
        <v>171.51</v>
      </c>
      <c r="F9" s="381">
        <f>7790/1000</f>
        <v>7.79</v>
      </c>
      <c r="G9" s="381">
        <f>21640/1000</f>
        <v>21.64</v>
      </c>
      <c r="H9" s="381">
        <f>21950/1000</f>
        <v>21.95</v>
      </c>
      <c r="I9" s="381">
        <f>83670/1000</f>
        <v>83.67</v>
      </c>
      <c r="J9" s="382" t="s">
        <v>262</v>
      </c>
      <c r="K9" s="383">
        <f>SUM(B9:J9)</f>
        <v>471.96</v>
      </c>
      <c r="M9" s="2"/>
    </row>
    <row r="10" spans="1:13" ht="12.75">
      <c r="A10" s="104" t="s">
        <v>116</v>
      </c>
      <c r="B10" s="381">
        <f>33930/1000</f>
        <v>33.93</v>
      </c>
      <c r="C10" s="381">
        <f>1550/1000</f>
        <v>1.55</v>
      </c>
      <c r="D10" s="381">
        <f>19983/1000</f>
        <v>19.983</v>
      </c>
      <c r="E10" s="381">
        <f>108250/1000</f>
        <v>108.25</v>
      </c>
      <c r="F10" s="381">
        <f>6950/1000</f>
        <v>6.95</v>
      </c>
      <c r="G10" s="381">
        <f>5870/1000</f>
        <v>5.87</v>
      </c>
      <c r="H10" s="381">
        <f>7250/1000</f>
        <v>7.25</v>
      </c>
      <c r="I10" s="381">
        <f>15370/1000</f>
        <v>15.37</v>
      </c>
      <c r="J10" s="384">
        <f>330/1000</f>
        <v>0.33</v>
      </c>
      <c r="K10" s="383">
        <f aca="true" t="shared" si="0" ref="K10:K22">SUM(B10:J10)</f>
        <v>199.483</v>
      </c>
      <c r="M10" s="2"/>
    </row>
    <row r="11" spans="1:13" ht="12.75">
      <c r="A11" s="104" t="s">
        <v>117</v>
      </c>
      <c r="B11" s="381">
        <f>8890/1000</f>
        <v>8.89</v>
      </c>
      <c r="C11" s="381">
        <f>4740/1000</f>
        <v>4.74</v>
      </c>
      <c r="D11" s="381">
        <f>2610/1000</f>
        <v>2.61</v>
      </c>
      <c r="E11" s="381">
        <f>28320/1000</f>
        <v>28.32</v>
      </c>
      <c r="F11" s="381">
        <f>4260/1000</f>
        <v>4.26</v>
      </c>
      <c r="G11" s="381">
        <f>1690/1000</f>
        <v>1.69</v>
      </c>
      <c r="H11" s="381">
        <f>3340/1000</f>
        <v>3.34</v>
      </c>
      <c r="I11" s="381">
        <f>7710/1000</f>
        <v>7.71</v>
      </c>
      <c r="J11" s="384">
        <f>150/1000</f>
        <v>0.15</v>
      </c>
      <c r="K11" s="383">
        <f t="shared" si="0"/>
        <v>61.709999999999994</v>
      </c>
      <c r="M11" s="2"/>
    </row>
    <row r="12" spans="1:13" ht="12.75">
      <c r="A12" s="104" t="s">
        <v>118</v>
      </c>
      <c r="B12" s="381">
        <f>28660/1000</f>
        <v>28.66</v>
      </c>
      <c r="C12" s="381">
        <f>1110/1000</f>
        <v>1.11</v>
      </c>
      <c r="D12" s="381">
        <f>610/1000</f>
        <v>0.61</v>
      </c>
      <c r="E12" s="381">
        <f>11290/1000</f>
        <v>11.29</v>
      </c>
      <c r="F12" s="381">
        <f>3600/1000</f>
        <v>3.6</v>
      </c>
      <c r="G12" s="381">
        <f>1400/1000</f>
        <v>1.4</v>
      </c>
      <c r="H12" s="381">
        <f>1110/1000</f>
        <v>1.11</v>
      </c>
      <c r="I12" s="381">
        <f>9990/1000</f>
        <v>9.99</v>
      </c>
      <c r="J12" s="384">
        <f>50/1000</f>
        <v>0.05</v>
      </c>
      <c r="K12" s="383">
        <f t="shared" si="0"/>
        <v>57.82</v>
      </c>
      <c r="M12" s="4"/>
    </row>
    <row r="13" spans="1:13" ht="12.75">
      <c r="A13" s="104" t="s">
        <v>272</v>
      </c>
      <c r="B13" s="381">
        <f>199020/1000</f>
        <v>199.02</v>
      </c>
      <c r="C13" s="381">
        <f>55980/1000</f>
        <v>55.98</v>
      </c>
      <c r="D13" s="381">
        <f>619040/1000</f>
        <v>619.04</v>
      </c>
      <c r="E13" s="381">
        <f>190210/1000</f>
        <v>190.21</v>
      </c>
      <c r="F13" s="381">
        <f>25480/1000</f>
        <v>25.48</v>
      </c>
      <c r="G13" s="381">
        <f>88690/1000</f>
        <v>88.69</v>
      </c>
      <c r="H13" s="381">
        <f>36570/1000</f>
        <v>36.57</v>
      </c>
      <c r="I13" s="381">
        <f>54390/1000</f>
        <v>54.39</v>
      </c>
      <c r="J13" s="384">
        <f>18050/1000</f>
        <v>18.05</v>
      </c>
      <c r="K13" s="383">
        <f t="shared" si="0"/>
        <v>1287.43</v>
      </c>
      <c r="M13" s="2"/>
    </row>
    <row r="14" spans="1:13" ht="12.75">
      <c r="A14" s="104" t="s">
        <v>120</v>
      </c>
      <c r="B14" s="381">
        <f>38530/1000</f>
        <v>38.53</v>
      </c>
      <c r="C14" s="381">
        <f>3800/1000</f>
        <v>3.8</v>
      </c>
      <c r="D14" s="381">
        <f>460/1000</f>
        <v>0.46</v>
      </c>
      <c r="E14" s="381">
        <f>29300/1000</f>
        <v>29.3</v>
      </c>
      <c r="F14" s="381">
        <f>1590/1000</f>
        <v>1.59</v>
      </c>
      <c r="G14" s="381">
        <f>1600/1000</f>
        <v>1.6</v>
      </c>
      <c r="H14" s="381">
        <f>430/1000</f>
        <v>0.43</v>
      </c>
      <c r="I14" s="381">
        <f>5500/1000</f>
        <v>5.5</v>
      </c>
      <c r="J14" s="382" t="s">
        <v>262</v>
      </c>
      <c r="K14" s="383">
        <f t="shared" si="0"/>
        <v>81.21000000000001</v>
      </c>
      <c r="M14" s="2"/>
    </row>
    <row r="15" spans="1:13" ht="12.75">
      <c r="A15" s="104" t="s">
        <v>121</v>
      </c>
      <c r="B15" s="381">
        <f>134400/1000</f>
        <v>134.4</v>
      </c>
      <c r="C15" s="381">
        <f>15790/1000</f>
        <v>15.79</v>
      </c>
      <c r="D15" s="381">
        <f>117620/1000</f>
        <v>117.62</v>
      </c>
      <c r="E15" s="381">
        <f>247260/1000</f>
        <v>247.26</v>
      </c>
      <c r="F15" s="381">
        <f>13110/1000</f>
        <v>13.11</v>
      </c>
      <c r="G15" s="381">
        <f>31200/1000</f>
        <v>31.2</v>
      </c>
      <c r="H15" s="381">
        <f>32930/1000</f>
        <v>32.93</v>
      </c>
      <c r="I15" s="381">
        <f>70760/1000</f>
        <v>70.76</v>
      </c>
      <c r="J15" s="384">
        <f>770/1000</f>
        <v>0.77</v>
      </c>
      <c r="K15" s="383">
        <f t="shared" si="0"/>
        <v>663.8399999999999</v>
      </c>
      <c r="M15" s="2"/>
    </row>
    <row r="16" spans="1:13" ht="12.75">
      <c r="A16" s="104" t="s">
        <v>122</v>
      </c>
      <c r="B16" s="381">
        <f>189790/1000</f>
        <v>189.79</v>
      </c>
      <c r="C16" s="381">
        <f>13820/1000</f>
        <v>13.82</v>
      </c>
      <c r="D16" s="381">
        <f>432170/1000</f>
        <v>432.17</v>
      </c>
      <c r="E16" s="381">
        <f>49060/1000</f>
        <v>49.06</v>
      </c>
      <c r="F16" s="381">
        <f>3120/1000</f>
        <v>3.12</v>
      </c>
      <c r="G16" s="381">
        <f>71610/1000</f>
        <v>71.61</v>
      </c>
      <c r="H16" s="381">
        <f>15500/1000</f>
        <v>15.5</v>
      </c>
      <c r="I16" s="381">
        <f>41990/1000</f>
        <v>41.99</v>
      </c>
      <c r="J16" s="382" t="s">
        <v>262</v>
      </c>
      <c r="K16" s="383">
        <f t="shared" si="0"/>
        <v>817.06</v>
      </c>
      <c r="M16" s="2"/>
    </row>
    <row r="17" spans="1:13" ht="12.75">
      <c r="A17" s="104" t="s">
        <v>123</v>
      </c>
      <c r="B17" s="381">
        <f>13940/1000</f>
        <v>13.94</v>
      </c>
      <c r="C17" s="381">
        <f>14110/1000</f>
        <v>14.11</v>
      </c>
      <c r="D17" s="381">
        <f>5330/1000</f>
        <v>5.33</v>
      </c>
      <c r="E17" s="381">
        <f>48900/1000</f>
        <v>48.9</v>
      </c>
      <c r="F17" s="381">
        <f>8780/1000</f>
        <v>8.78</v>
      </c>
      <c r="G17" s="381">
        <f>2300/1000</f>
        <v>2.3</v>
      </c>
      <c r="H17" s="381">
        <f>3410/1000</f>
        <v>3.41</v>
      </c>
      <c r="I17" s="381">
        <f>4730/1000</f>
        <v>4.73</v>
      </c>
      <c r="J17" s="384">
        <f>70/1000</f>
        <v>0.07</v>
      </c>
      <c r="K17" s="383">
        <f t="shared" si="0"/>
        <v>101.57</v>
      </c>
      <c r="L17" s="2"/>
      <c r="M17" s="2"/>
    </row>
    <row r="18" spans="1:13" ht="12.75">
      <c r="A18" s="104" t="s">
        <v>124</v>
      </c>
      <c r="B18" s="381">
        <f>5270/1000</f>
        <v>5.27</v>
      </c>
      <c r="C18" s="381">
        <f>460/1000</f>
        <v>0.46</v>
      </c>
      <c r="D18" s="381">
        <f>190/1000</f>
        <v>0.19</v>
      </c>
      <c r="E18" s="381">
        <f>130640/1000</f>
        <v>130.64</v>
      </c>
      <c r="F18" s="381">
        <f>610/1000</f>
        <v>0.61</v>
      </c>
      <c r="G18" s="381">
        <f>120/1000</f>
        <v>0.12</v>
      </c>
      <c r="H18" s="381">
        <f>370/1000</f>
        <v>0.37</v>
      </c>
      <c r="I18" s="381">
        <f>3860/1000</f>
        <v>3.86</v>
      </c>
      <c r="J18" s="384">
        <f>30/1000</f>
        <v>0.03</v>
      </c>
      <c r="K18" s="383">
        <f t="shared" si="0"/>
        <v>141.55</v>
      </c>
      <c r="L18" s="2"/>
      <c r="M18" s="2"/>
    </row>
    <row r="19" spans="1:13" ht="12.75">
      <c r="A19" s="104" t="s">
        <v>125</v>
      </c>
      <c r="B19" s="381">
        <f>525040/1000</f>
        <v>525.04</v>
      </c>
      <c r="C19" s="381">
        <f>44930/1000</f>
        <v>44.93</v>
      </c>
      <c r="D19" s="381">
        <f>1016860/1000</f>
        <v>1016.86</v>
      </c>
      <c r="E19" s="381">
        <f>224940/1000</f>
        <v>224.94</v>
      </c>
      <c r="F19" s="381">
        <f>10130/1000</f>
        <v>10.13</v>
      </c>
      <c r="G19" s="381">
        <f>219430/1000</f>
        <v>219.43</v>
      </c>
      <c r="H19" s="381">
        <f>21240/1000</f>
        <v>21.24</v>
      </c>
      <c r="I19" s="381">
        <f>71950/1000</f>
        <v>71.95</v>
      </c>
      <c r="J19" s="384">
        <f>19220/1000</f>
        <v>19.22</v>
      </c>
      <c r="K19" s="383">
        <f t="shared" si="0"/>
        <v>2153.74</v>
      </c>
      <c r="L19" s="2"/>
      <c r="M19" s="2"/>
    </row>
    <row r="20" spans="1:13" ht="12.75">
      <c r="A20" s="104" t="s">
        <v>126</v>
      </c>
      <c r="B20" s="381">
        <f>190/1000</f>
        <v>0.19</v>
      </c>
      <c r="C20" s="381">
        <f>30/1000</f>
        <v>0.03</v>
      </c>
      <c r="D20" s="381">
        <f>480/1000</f>
        <v>0.48</v>
      </c>
      <c r="E20" s="381">
        <f>1570/1000</f>
        <v>1.57</v>
      </c>
      <c r="F20" s="381">
        <f>50/1000</f>
        <v>0.05</v>
      </c>
      <c r="G20" s="381">
        <f>20/1000</f>
        <v>0.02</v>
      </c>
      <c r="H20" s="381">
        <f>130/1000</f>
        <v>0.13</v>
      </c>
      <c r="I20" s="381">
        <f>320/1000</f>
        <v>0.32</v>
      </c>
      <c r="J20" s="384">
        <f>20/1000</f>
        <v>0.02</v>
      </c>
      <c r="K20" s="383">
        <f t="shared" si="0"/>
        <v>2.8099999999999996</v>
      </c>
      <c r="L20" s="2"/>
      <c r="M20" s="2"/>
    </row>
    <row r="21" spans="1:13" ht="12.75">
      <c r="A21" s="104" t="s">
        <v>127</v>
      </c>
      <c r="B21" s="381">
        <f>36120/1000</f>
        <v>36.12</v>
      </c>
      <c r="C21" s="381">
        <f>12600/1000</f>
        <v>12.6</v>
      </c>
      <c r="D21" s="381">
        <f>144010/1000</f>
        <v>144.01</v>
      </c>
      <c r="E21" s="381">
        <f>49830/1000</f>
        <v>49.83</v>
      </c>
      <c r="F21" s="381">
        <f>7280/1000</f>
        <v>7.28</v>
      </c>
      <c r="G21" s="381">
        <f>87610/1000</f>
        <v>87.61</v>
      </c>
      <c r="H21" s="381">
        <f>32680/1000</f>
        <v>32.68</v>
      </c>
      <c r="I21" s="381">
        <f>45630/1000</f>
        <v>45.63</v>
      </c>
      <c r="J21" s="384">
        <f>220/1000</f>
        <v>0.22</v>
      </c>
      <c r="K21" s="383">
        <f t="shared" si="0"/>
        <v>415.98</v>
      </c>
      <c r="L21" s="2"/>
      <c r="M21" s="2"/>
    </row>
    <row r="22" spans="1:16" ht="12.75">
      <c r="A22" s="104" t="s">
        <v>128</v>
      </c>
      <c r="B22" s="381">
        <f>42530/1000</f>
        <v>42.53</v>
      </c>
      <c r="C22" s="381">
        <f>4830/1000</f>
        <v>4.83</v>
      </c>
      <c r="D22" s="381">
        <f>3250/1000</f>
        <v>3.25</v>
      </c>
      <c r="E22" s="381">
        <f>148980/1000</f>
        <v>148.98</v>
      </c>
      <c r="F22" s="381">
        <f>6780/1000</f>
        <v>6.78</v>
      </c>
      <c r="G22" s="381">
        <f>2440/1000</f>
        <v>2.44</v>
      </c>
      <c r="H22" s="381">
        <f>2600/1000</f>
        <v>2.6</v>
      </c>
      <c r="I22" s="381">
        <f>12450/1000</f>
        <v>12.45</v>
      </c>
      <c r="J22" s="384">
        <f>9400/1000</f>
        <v>9.4</v>
      </c>
      <c r="K22" s="383">
        <f t="shared" si="0"/>
        <v>233.25999999999996</v>
      </c>
      <c r="L22" s="2"/>
      <c r="M22" s="2"/>
      <c r="N22" s="2"/>
      <c r="O22" s="2"/>
      <c r="P22" s="2"/>
    </row>
    <row r="23" spans="1:16" ht="13.5" thickBot="1">
      <c r="A23" s="186" t="s">
        <v>129</v>
      </c>
      <c r="B23" s="385">
        <f>42020/1000</f>
        <v>42.02</v>
      </c>
      <c r="C23" s="385">
        <f>1370/1000</f>
        <v>1.37</v>
      </c>
      <c r="D23" s="385">
        <f>440/1000</f>
        <v>0.44</v>
      </c>
      <c r="E23" s="385">
        <f>19730/1000</f>
        <v>19.73</v>
      </c>
      <c r="F23" s="385">
        <f>990/1000</f>
        <v>0.99</v>
      </c>
      <c r="G23" s="385">
        <f>1220/1000</f>
        <v>1.22</v>
      </c>
      <c r="H23" s="385">
        <f>700/1000</f>
        <v>0.7</v>
      </c>
      <c r="I23" s="385">
        <f>13630/1000</f>
        <v>13.63</v>
      </c>
      <c r="J23" s="386">
        <f>1320/1000</f>
        <v>1.32</v>
      </c>
      <c r="K23" s="387">
        <f>SUM(B23:J23)</f>
        <v>81.41999999999999</v>
      </c>
      <c r="L23" s="2"/>
      <c r="M23" s="2"/>
      <c r="N23" s="2"/>
      <c r="O23" s="2"/>
      <c r="P23" s="2"/>
    </row>
    <row r="24" spans="1:16" ht="12.75">
      <c r="A24" s="2" t="s">
        <v>226</v>
      </c>
      <c r="B24" s="2"/>
      <c r="C24" s="2"/>
      <c r="D24" s="2"/>
      <c r="E24" s="2"/>
      <c r="F24" s="2"/>
      <c r="G24" s="2"/>
      <c r="H24" s="4"/>
      <c r="I24" s="2"/>
      <c r="J24" s="2"/>
      <c r="K24" s="376"/>
      <c r="L24" s="2"/>
      <c r="M24" s="2"/>
      <c r="N24" s="2"/>
      <c r="O24" s="2"/>
      <c r="P24" s="2"/>
    </row>
    <row r="25" spans="1:16" ht="12.75">
      <c r="A25" s="1" t="s">
        <v>203</v>
      </c>
      <c r="B25" s="2"/>
      <c r="C25" s="2"/>
      <c r="D25" s="2"/>
      <c r="E25" s="2"/>
      <c r="F25" s="2"/>
      <c r="G25" s="2"/>
      <c r="H25" s="4"/>
      <c r="I25" s="2"/>
      <c r="J25" s="2"/>
      <c r="K25" s="376"/>
      <c r="L25" s="2"/>
      <c r="M25" s="2"/>
      <c r="N25" s="2"/>
      <c r="O25" s="2"/>
      <c r="P25" s="2"/>
    </row>
    <row r="26" spans="1:16" ht="12.75">
      <c r="A26" s="5" t="s">
        <v>271</v>
      </c>
      <c r="B26" s="5"/>
      <c r="C26" s="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305" t="s">
        <v>268</v>
      </c>
      <c r="B27" s="305"/>
      <c r="C27" s="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6" t="s">
        <v>263</v>
      </c>
      <c r="B28" s="6"/>
      <c r="C28" s="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ht="12.75">
      <c r="A29" t="s">
        <v>273</v>
      </c>
    </row>
    <row r="30" ht="12.75">
      <c r="A30" t="s">
        <v>250</v>
      </c>
    </row>
  </sheetData>
  <mergeCells count="2">
    <mergeCell ref="A3:J3"/>
    <mergeCell ref="A1:K1"/>
  </mergeCells>
  <printOptions horizontalCentered="1"/>
  <pageMargins left="0.75" right="0.75" top="0.5905511811023623" bottom="1" header="0" footer="0"/>
  <pageSetup fitToHeight="1" fitToWidth="1" horizontalDpi="2400" verticalDpi="2400" orientation="portrait" paperSize="9" scale="55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3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1.00390625" style="0" customWidth="1"/>
    <col min="2" max="3" width="13.8515625" style="0" customWidth="1"/>
    <col min="4" max="4" width="16.8515625" style="0" customWidth="1"/>
    <col min="5" max="5" width="18.140625" style="0" customWidth="1"/>
    <col min="6" max="6" width="17.7109375" style="0" customWidth="1"/>
    <col min="7" max="7" width="32.140625" style="0" customWidth="1"/>
  </cols>
  <sheetData>
    <row r="1" spans="1:11" ht="18">
      <c r="A1" s="426" t="s">
        <v>139</v>
      </c>
      <c r="B1" s="426"/>
      <c r="C1" s="426"/>
      <c r="D1" s="426"/>
      <c r="E1" s="426"/>
      <c r="F1" s="426"/>
      <c r="G1" s="426"/>
      <c r="H1" s="121"/>
      <c r="I1" s="121"/>
      <c r="J1" s="121"/>
      <c r="K1" s="121"/>
    </row>
    <row r="2" spans="1:10" ht="18">
      <c r="A2" s="121"/>
      <c r="B2" s="121"/>
      <c r="C2" s="121"/>
      <c r="D2" s="121"/>
      <c r="E2" s="121"/>
      <c r="F2" s="121"/>
      <c r="G2" s="121"/>
      <c r="H2" s="42"/>
      <c r="I2" s="42"/>
      <c r="J2" s="42"/>
    </row>
    <row r="3" spans="1:9" ht="15">
      <c r="A3" s="493" t="s">
        <v>281</v>
      </c>
      <c r="B3" s="493"/>
      <c r="C3" s="493"/>
      <c r="D3" s="493"/>
      <c r="E3" s="493"/>
      <c r="F3" s="493"/>
      <c r="G3" s="493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01"/>
      <c r="B5" s="491" t="s">
        <v>257</v>
      </c>
      <c r="C5" s="495"/>
      <c r="D5" s="495"/>
      <c r="E5" s="495"/>
      <c r="F5" s="492"/>
      <c r="G5" s="112" t="s">
        <v>194</v>
      </c>
      <c r="H5" s="2"/>
      <c r="I5" s="2"/>
    </row>
    <row r="6" spans="1:9" ht="12.75">
      <c r="A6" s="102" t="s">
        <v>225</v>
      </c>
      <c r="B6" s="106"/>
      <c r="C6" s="106"/>
      <c r="D6" s="106"/>
      <c r="E6" s="106"/>
      <c r="F6" s="106"/>
      <c r="G6" s="107" t="s">
        <v>78</v>
      </c>
      <c r="H6" s="2"/>
      <c r="I6" s="2"/>
    </row>
    <row r="7" spans="1:9" ht="13.5" thickBot="1">
      <c r="A7" s="186"/>
      <c r="B7" s="185" t="s">
        <v>130</v>
      </c>
      <c r="C7" s="185" t="s">
        <v>131</v>
      </c>
      <c r="D7" s="185" t="s">
        <v>132</v>
      </c>
      <c r="E7" s="185" t="s">
        <v>133</v>
      </c>
      <c r="F7" s="185" t="s">
        <v>75</v>
      </c>
      <c r="G7" s="187" t="s">
        <v>195</v>
      </c>
      <c r="H7" s="2"/>
      <c r="I7" s="2"/>
    </row>
    <row r="8" spans="1:9" s="377" customFormat="1" ht="12.75">
      <c r="A8" s="193" t="s">
        <v>224</v>
      </c>
      <c r="B8" s="378">
        <v>3394.213</v>
      </c>
      <c r="C8" s="378">
        <v>1792.46</v>
      </c>
      <c r="D8" s="378">
        <v>792.54</v>
      </c>
      <c r="E8" s="378">
        <v>542.94</v>
      </c>
      <c r="F8" s="378">
        <v>248.69</v>
      </c>
      <c r="G8" s="388">
        <f>SUM(B8:F8)</f>
        <v>6770.843</v>
      </c>
      <c r="H8" s="194"/>
      <c r="I8" s="194"/>
    </row>
    <row r="9" spans="1:9" ht="12.75">
      <c r="A9" s="104" t="s">
        <v>115</v>
      </c>
      <c r="B9" s="381">
        <v>113.63</v>
      </c>
      <c r="C9" s="381">
        <v>126.07</v>
      </c>
      <c r="D9" s="381">
        <v>102.39</v>
      </c>
      <c r="E9" s="381">
        <v>93.47</v>
      </c>
      <c r="F9" s="381">
        <v>36.4</v>
      </c>
      <c r="G9" s="388">
        <f aca="true" t="shared" si="0" ref="G9:G23">SUM(B9:F9)</f>
        <v>471.9599999999999</v>
      </c>
      <c r="H9" s="2"/>
      <c r="I9" s="2"/>
    </row>
    <row r="10" spans="1:9" ht="12.75">
      <c r="A10" s="104" t="s">
        <v>116</v>
      </c>
      <c r="B10" s="381">
        <v>85.313</v>
      </c>
      <c r="C10" s="381">
        <v>67.83</v>
      </c>
      <c r="D10" s="381">
        <v>36.67</v>
      </c>
      <c r="E10" s="381">
        <v>8.92</v>
      </c>
      <c r="F10" s="381">
        <v>0.75</v>
      </c>
      <c r="G10" s="388">
        <f t="shared" si="0"/>
        <v>199.48299999999998</v>
      </c>
      <c r="H10" s="2"/>
      <c r="I10" s="2"/>
    </row>
    <row r="11" spans="1:9" ht="12.75">
      <c r="A11" s="104" t="s">
        <v>117</v>
      </c>
      <c r="B11" s="381">
        <v>10.36</v>
      </c>
      <c r="C11" s="381">
        <v>12</v>
      </c>
      <c r="D11" s="381">
        <v>11.08</v>
      </c>
      <c r="E11" s="381">
        <v>18.35</v>
      </c>
      <c r="F11" s="381">
        <v>9.92</v>
      </c>
      <c r="G11" s="388">
        <f t="shared" si="0"/>
        <v>61.71</v>
      </c>
      <c r="H11" s="2"/>
      <c r="I11" s="2"/>
    </row>
    <row r="12" spans="1:9" ht="12.75">
      <c r="A12" s="104" t="s">
        <v>118</v>
      </c>
      <c r="B12" s="381">
        <v>3.58</v>
      </c>
      <c r="C12" s="381">
        <v>18.95</v>
      </c>
      <c r="D12" s="381">
        <v>11.95</v>
      </c>
      <c r="E12" s="381">
        <v>11.98</v>
      </c>
      <c r="F12" s="381">
        <v>11.36</v>
      </c>
      <c r="G12" s="388">
        <f t="shared" si="0"/>
        <v>57.82000000000001</v>
      </c>
      <c r="H12" s="2"/>
      <c r="I12" s="2"/>
    </row>
    <row r="13" spans="1:9" ht="12.75">
      <c r="A13" s="104" t="s">
        <v>119</v>
      </c>
      <c r="B13" s="381">
        <v>662.08</v>
      </c>
      <c r="C13" s="381">
        <v>405.69</v>
      </c>
      <c r="D13" s="381">
        <v>149.52</v>
      </c>
      <c r="E13" s="381">
        <v>52.27</v>
      </c>
      <c r="F13" s="381">
        <v>17.87</v>
      </c>
      <c r="G13" s="388">
        <f t="shared" si="0"/>
        <v>1287.4299999999998</v>
      </c>
      <c r="H13" s="2"/>
      <c r="I13" s="2"/>
    </row>
    <row r="14" spans="1:9" ht="12.75">
      <c r="A14" s="104" t="s">
        <v>120</v>
      </c>
      <c r="B14" s="381">
        <v>18.89</v>
      </c>
      <c r="C14" s="381">
        <v>25.71</v>
      </c>
      <c r="D14" s="381">
        <v>21.95</v>
      </c>
      <c r="E14" s="381">
        <v>13.28</v>
      </c>
      <c r="F14" s="381">
        <v>1.38</v>
      </c>
      <c r="G14" s="388">
        <f t="shared" si="0"/>
        <v>81.21</v>
      </c>
      <c r="H14" s="2"/>
      <c r="I14" s="2"/>
    </row>
    <row r="15" spans="1:9" ht="12.75">
      <c r="A15" s="104" t="s">
        <v>121</v>
      </c>
      <c r="B15" s="381">
        <v>170.61</v>
      </c>
      <c r="C15" s="381">
        <v>118.14</v>
      </c>
      <c r="D15" s="381">
        <v>133.71</v>
      </c>
      <c r="E15" s="381">
        <v>168.65</v>
      </c>
      <c r="F15" s="381">
        <v>72.73</v>
      </c>
      <c r="G15" s="388">
        <f t="shared" si="0"/>
        <v>663.84</v>
      </c>
      <c r="H15" s="2"/>
      <c r="I15" s="2"/>
    </row>
    <row r="16" spans="1:9" ht="12.75">
      <c r="A16" s="104" t="s">
        <v>122</v>
      </c>
      <c r="B16" s="381">
        <v>448.36</v>
      </c>
      <c r="C16" s="381">
        <v>298.47</v>
      </c>
      <c r="D16" s="381">
        <v>62.34</v>
      </c>
      <c r="E16" s="389">
        <v>7.31</v>
      </c>
      <c r="F16" s="390">
        <v>0.58</v>
      </c>
      <c r="G16" s="388">
        <f t="shared" si="0"/>
        <v>817.0600000000001</v>
      </c>
      <c r="H16" s="2"/>
      <c r="I16" s="2"/>
    </row>
    <row r="17" spans="1:9" ht="12.75">
      <c r="A17" s="104" t="s">
        <v>123</v>
      </c>
      <c r="B17" s="381">
        <v>1.29</v>
      </c>
      <c r="C17" s="381">
        <v>21.1</v>
      </c>
      <c r="D17" s="381">
        <v>17.24</v>
      </c>
      <c r="E17" s="381">
        <v>29.73</v>
      </c>
      <c r="F17" s="381">
        <v>32.21</v>
      </c>
      <c r="G17" s="388">
        <f t="shared" si="0"/>
        <v>101.57</v>
      </c>
      <c r="H17" s="2"/>
      <c r="I17" s="2"/>
    </row>
    <row r="18" spans="1:9" ht="12.75">
      <c r="A18" s="104" t="s">
        <v>124</v>
      </c>
      <c r="B18" s="381">
        <v>36.27</v>
      </c>
      <c r="C18" s="381">
        <v>54.95</v>
      </c>
      <c r="D18" s="381">
        <v>29.84</v>
      </c>
      <c r="E18" s="381">
        <v>17.81</v>
      </c>
      <c r="F18" s="381">
        <v>2.68</v>
      </c>
      <c r="G18" s="388">
        <f t="shared" si="0"/>
        <v>141.55</v>
      </c>
      <c r="H18" s="2"/>
      <c r="I18" s="2"/>
    </row>
    <row r="19" spans="1:9" ht="12.75">
      <c r="A19" s="104" t="s">
        <v>125</v>
      </c>
      <c r="B19" s="381">
        <v>1430.35</v>
      </c>
      <c r="C19" s="381">
        <v>485.35</v>
      </c>
      <c r="D19" s="381">
        <v>149.39</v>
      </c>
      <c r="E19" s="381">
        <v>63.37</v>
      </c>
      <c r="F19" s="381">
        <v>25.28</v>
      </c>
      <c r="G19" s="388">
        <f t="shared" si="0"/>
        <v>2153.74</v>
      </c>
      <c r="H19" s="2"/>
      <c r="I19" s="2"/>
    </row>
    <row r="20" spans="1:9" ht="12.75">
      <c r="A20" s="104" t="s">
        <v>126</v>
      </c>
      <c r="B20" s="381">
        <v>0.56</v>
      </c>
      <c r="C20" s="381">
        <v>0.57</v>
      </c>
      <c r="D20" s="381">
        <v>0.55</v>
      </c>
      <c r="E20" s="381">
        <v>1.01</v>
      </c>
      <c r="F20" s="381">
        <v>0.12</v>
      </c>
      <c r="G20" s="388">
        <f t="shared" si="0"/>
        <v>2.81</v>
      </c>
      <c r="H20" s="2"/>
      <c r="I20" s="2"/>
    </row>
    <row r="21" spans="1:9" ht="12.75">
      <c r="A21" s="104" t="s">
        <v>127</v>
      </c>
      <c r="B21" s="381">
        <v>299.92</v>
      </c>
      <c r="C21" s="381">
        <v>86.29</v>
      </c>
      <c r="D21" s="381">
        <v>19.83</v>
      </c>
      <c r="E21" s="381">
        <v>7.22</v>
      </c>
      <c r="F21" s="381">
        <v>2.72</v>
      </c>
      <c r="G21" s="388">
        <f t="shared" si="0"/>
        <v>415.9800000000001</v>
      </c>
      <c r="H21" s="2"/>
      <c r="I21" s="2"/>
    </row>
    <row r="22" spans="1:9" ht="12.75">
      <c r="A22" s="104" t="s">
        <v>128</v>
      </c>
      <c r="B22" s="381">
        <v>86.45</v>
      </c>
      <c r="C22" s="381">
        <v>45.8</v>
      </c>
      <c r="D22" s="381">
        <v>33.33</v>
      </c>
      <c r="E22" s="381">
        <v>37.45</v>
      </c>
      <c r="F22" s="381">
        <v>30.23</v>
      </c>
      <c r="G22" s="388">
        <f t="shared" si="0"/>
        <v>233.25999999999996</v>
      </c>
      <c r="H22" s="2"/>
      <c r="I22" s="2"/>
    </row>
    <row r="23" spans="1:9" ht="13.5" thickBot="1">
      <c r="A23" s="186" t="s">
        <v>129</v>
      </c>
      <c r="B23" s="385">
        <v>26.55</v>
      </c>
      <c r="C23" s="385">
        <v>25.54</v>
      </c>
      <c r="D23" s="385">
        <v>12.75</v>
      </c>
      <c r="E23" s="385">
        <v>12.12</v>
      </c>
      <c r="F23" s="385">
        <v>4.46</v>
      </c>
      <c r="G23" s="391">
        <f t="shared" si="0"/>
        <v>81.42</v>
      </c>
      <c r="H23" s="2"/>
      <c r="I23" s="2"/>
    </row>
    <row r="24" spans="1:9" ht="12.75">
      <c r="A24" s="2" t="s">
        <v>226</v>
      </c>
      <c r="B24" s="2"/>
      <c r="C24" s="2"/>
      <c r="D24" s="2"/>
      <c r="E24" s="2"/>
      <c r="F24" s="2"/>
      <c r="G24" s="2"/>
      <c r="H24" s="2"/>
      <c r="I24" s="2"/>
    </row>
    <row r="25" spans="1:9" ht="12.75">
      <c r="A25" s="6" t="s">
        <v>263</v>
      </c>
      <c r="B25" s="6"/>
      <c r="C25" s="2"/>
      <c r="D25" s="2"/>
      <c r="E25" s="2"/>
      <c r="F25" s="2"/>
      <c r="G25" s="2"/>
      <c r="H25" s="2"/>
      <c r="I25" s="2"/>
    </row>
    <row r="26" spans="1:9" ht="12.75">
      <c r="A26" s="1" t="s">
        <v>203</v>
      </c>
      <c r="B26" s="6"/>
      <c r="C26" s="2"/>
      <c r="D26" s="2"/>
      <c r="E26" s="2"/>
      <c r="F26" s="2"/>
      <c r="G26" s="2"/>
      <c r="H26" s="2"/>
      <c r="I26" s="2"/>
    </row>
    <row r="27" spans="1:9" ht="12.75">
      <c r="A27" s="305" t="s">
        <v>268</v>
      </c>
      <c r="B27" s="6"/>
      <c r="C27" s="2"/>
      <c r="D27" s="2"/>
      <c r="E27" s="2"/>
      <c r="F27" s="2"/>
      <c r="G27" s="2"/>
      <c r="H27" s="2"/>
      <c r="I27" s="2"/>
    </row>
    <row r="28" ht="12.75">
      <c r="A28" t="s">
        <v>248</v>
      </c>
    </row>
    <row r="29" ht="12.75">
      <c r="A29" t="s">
        <v>274</v>
      </c>
    </row>
    <row r="30" spans="1:9" ht="12.75">
      <c r="A30" s="2"/>
      <c r="B30" s="2"/>
      <c r="C30" s="2"/>
      <c r="D30" s="3"/>
      <c r="E30" s="2"/>
      <c r="F30" s="2"/>
      <c r="G30" s="2"/>
      <c r="H30" s="2"/>
      <c r="I30" s="2"/>
    </row>
  </sheetData>
  <mergeCells count="3">
    <mergeCell ref="B5:F5"/>
    <mergeCell ref="A3:G3"/>
    <mergeCell ref="A1:G1"/>
  </mergeCells>
  <printOptions horizontalCentered="1"/>
  <pageMargins left="0.75" right="0.75" top="0.5905511811023623" bottom="1" header="0" footer="0"/>
  <pageSetup fitToHeight="1" fitToWidth="1" horizontalDpi="2400" verticalDpi="2400" orientation="portrait" paperSize="9" scale="71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6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0.7109375" style="20" customWidth="1"/>
    <col min="2" max="2" width="11.7109375" style="20" customWidth="1"/>
    <col min="3" max="3" width="12.7109375" style="20" customWidth="1"/>
    <col min="4" max="4" width="11.7109375" style="20" customWidth="1"/>
    <col min="5" max="6" width="12.7109375" style="20" customWidth="1"/>
    <col min="7" max="7" width="11.7109375" style="20" customWidth="1"/>
    <col min="8" max="8" width="13.28125" style="20" customWidth="1"/>
    <col min="9" max="9" width="15.421875" style="20" customWidth="1"/>
    <col min="10" max="16384" width="19.140625" style="20" customWidth="1"/>
  </cols>
  <sheetData>
    <row r="1" spans="1:9" ht="18">
      <c r="A1" s="426" t="s">
        <v>139</v>
      </c>
      <c r="B1" s="426"/>
      <c r="C1" s="426"/>
      <c r="D1" s="426"/>
      <c r="E1" s="426"/>
      <c r="F1" s="426"/>
      <c r="G1" s="426"/>
      <c r="H1" s="426"/>
      <c r="I1" s="426"/>
    </row>
    <row r="3" spans="1:9" ht="15">
      <c r="A3" s="427" t="s">
        <v>204</v>
      </c>
      <c r="B3" s="427"/>
      <c r="C3" s="427"/>
      <c r="D3" s="427"/>
      <c r="E3" s="427"/>
      <c r="F3" s="427"/>
      <c r="G3" s="427"/>
      <c r="H3" s="427"/>
      <c r="I3" s="427"/>
    </row>
    <row r="4" spans="1:9" ht="15">
      <c r="A4" s="427" t="s">
        <v>140</v>
      </c>
      <c r="B4" s="427"/>
      <c r="C4" s="427"/>
      <c r="D4" s="427"/>
      <c r="E4" s="427"/>
      <c r="F4" s="427"/>
      <c r="G4" s="427"/>
      <c r="H4" s="427"/>
      <c r="I4" s="427"/>
    </row>
    <row r="6" spans="1:9" ht="12.75">
      <c r="A6" s="31"/>
      <c r="B6" s="40" t="s">
        <v>157</v>
      </c>
      <c r="C6" s="40" t="s">
        <v>20</v>
      </c>
      <c r="D6" s="404" t="s">
        <v>19</v>
      </c>
      <c r="E6" s="405"/>
      <c r="F6" s="405"/>
      <c r="G6" s="405"/>
      <c r="H6" s="406"/>
      <c r="I6" s="41" t="s">
        <v>155</v>
      </c>
    </row>
    <row r="7" spans="1:9" ht="12.75">
      <c r="A7" s="32" t="s">
        <v>22</v>
      </c>
      <c r="B7" s="33" t="s">
        <v>23</v>
      </c>
      <c r="C7" s="33" t="s">
        <v>24</v>
      </c>
      <c r="D7" s="400" t="s">
        <v>233</v>
      </c>
      <c r="E7" s="405"/>
      <c r="F7" s="406"/>
      <c r="G7" s="400" t="s">
        <v>234</v>
      </c>
      <c r="H7" s="406"/>
      <c r="I7" s="37" t="s">
        <v>78</v>
      </c>
    </row>
    <row r="8" spans="1:9" ht="13.5" thickBot="1">
      <c r="A8" s="126"/>
      <c r="B8" s="127" t="s">
        <v>78</v>
      </c>
      <c r="C8" s="127" t="s">
        <v>158</v>
      </c>
      <c r="D8" s="127" t="s">
        <v>58</v>
      </c>
      <c r="E8" s="127" t="s">
        <v>159</v>
      </c>
      <c r="F8" s="127" t="s">
        <v>160</v>
      </c>
      <c r="G8" s="127" t="s">
        <v>58</v>
      </c>
      <c r="H8" s="127" t="s">
        <v>232</v>
      </c>
      <c r="I8" s="128" t="s">
        <v>21</v>
      </c>
    </row>
    <row r="9" spans="1:10" ht="12.75">
      <c r="A9" s="32" t="s">
        <v>26</v>
      </c>
      <c r="B9" s="233">
        <f>D9+G9+I9</f>
        <v>270053</v>
      </c>
      <c r="C9" s="233">
        <f>E9+H9+J9</f>
        <v>2041799</v>
      </c>
      <c r="D9" s="233">
        <v>240836</v>
      </c>
      <c r="E9" s="233">
        <v>1308690</v>
      </c>
      <c r="F9" s="224">
        <v>696691</v>
      </c>
      <c r="G9" s="224">
        <v>28159</v>
      </c>
      <c r="H9" s="269">
        <v>733109</v>
      </c>
      <c r="I9" s="223">
        <v>1058</v>
      </c>
      <c r="J9" s="113"/>
    </row>
    <row r="10" spans="1:9" ht="12.75">
      <c r="A10" s="32" t="s">
        <v>27</v>
      </c>
      <c r="B10" s="234">
        <f aca="true" t="shared" si="0" ref="B10:B25">D10+G10+I10</f>
        <v>43510</v>
      </c>
      <c r="C10" s="234">
        <f aca="true" t="shared" si="1" ref="C10:C25">E10+H10+J10</f>
        <v>797620</v>
      </c>
      <c r="D10" s="234">
        <v>41775</v>
      </c>
      <c r="E10" s="234">
        <v>688787</v>
      </c>
      <c r="F10" s="224">
        <v>473109</v>
      </c>
      <c r="G10" s="224">
        <v>1049</v>
      </c>
      <c r="H10" s="269">
        <v>108833</v>
      </c>
      <c r="I10" s="223">
        <v>686</v>
      </c>
    </row>
    <row r="11" spans="1:9" ht="12.75">
      <c r="A11" s="32" t="s">
        <v>28</v>
      </c>
      <c r="B11" s="234">
        <f t="shared" si="0"/>
        <v>18461</v>
      </c>
      <c r="C11" s="234">
        <f t="shared" si="1"/>
        <v>462823</v>
      </c>
      <c r="D11" s="234">
        <v>17263</v>
      </c>
      <c r="E11" s="234">
        <v>427831</v>
      </c>
      <c r="F11" s="224">
        <v>276390</v>
      </c>
      <c r="G11" s="224">
        <v>890</v>
      </c>
      <c r="H11" s="269">
        <v>34992</v>
      </c>
      <c r="I11" s="223">
        <v>308</v>
      </c>
    </row>
    <row r="12" spans="1:9" ht="12.75">
      <c r="A12" s="32" t="s">
        <v>29</v>
      </c>
      <c r="B12" s="234">
        <f t="shared" si="0"/>
        <v>39956</v>
      </c>
      <c r="C12" s="234">
        <f t="shared" si="1"/>
        <v>606187</v>
      </c>
      <c r="D12" s="234">
        <v>34618</v>
      </c>
      <c r="E12" s="234">
        <v>495766</v>
      </c>
      <c r="F12" s="224">
        <v>259320</v>
      </c>
      <c r="G12" s="224">
        <v>5016</v>
      </c>
      <c r="H12" s="269">
        <v>110421</v>
      </c>
      <c r="I12" s="223">
        <v>322</v>
      </c>
    </row>
    <row r="13" spans="1:9" ht="12.75">
      <c r="A13" s="32" t="s">
        <v>30</v>
      </c>
      <c r="B13" s="234">
        <f t="shared" si="0"/>
        <v>25406</v>
      </c>
      <c r="C13" s="234">
        <f t="shared" si="1"/>
        <v>952502</v>
      </c>
      <c r="D13" s="234">
        <v>23931</v>
      </c>
      <c r="E13" s="234">
        <v>922110</v>
      </c>
      <c r="F13" s="224">
        <v>601442</v>
      </c>
      <c r="G13" s="224">
        <v>1109</v>
      </c>
      <c r="H13" s="269">
        <v>30392</v>
      </c>
      <c r="I13" s="223">
        <v>366</v>
      </c>
    </row>
    <row r="14" spans="1:9" ht="12.75">
      <c r="A14" s="32" t="s">
        <v>31</v>
      </c>
      <c r="B14" s="234">
        <f t="shared" si="0"/>
        <v>19415</v>
      </c>
      <c r="C14" s="234">
        <f t="shared" si="1"/>
        <v>447932</v>
      </c>
      <c r="D14" s="234">
        <v>17300</v>
      </c>
      <c r="E14" s="234">
        <v>390179</v>
      </c>
      <c r="F14" s="224">
        <v>240231</v>
      </c>
      <c r="G14" s="224">
        <v>1785</v>
      </c>
      <c r="H14" s="269">
        <v>57753</v>
      </c>
      <c r="I14" s="223">
        <v>330</v>
      </c>
    </row>
    <row r="15" spans="1:9" ht="12.75">
      <c r="A15" s="32" t="s">
        <v>32</v>
      </c>
      <c r="B15" s="234">
        <f t="shared" si="0"/>
        <v>80021</v>
      </c>
      <c r="C15" s="234">
        <f t="shared" si="1"/>
        <v>4146171</v>
      </c>
      <c r="D15" s="234">
        <v>72065</v>
      </c>
      <c r="E15" s="234">
        <v>3279316</v>
      </c>
      <c r="F15" s="224">
        <v>2462701</v>
      </c>
      <c r="G15" s="224">
        <v>6179</v>
      </c>
      <c r="H15" s="269">
        <v>866855</v>
      </c>
      <c r="I15" s="223">
        <v>1777</v>
      </c>
    </row>
    <row r="16" spans="1:9" ht="12.75">
      <c r="A16" s="32" t="s">
        <v>33</v>
      </c>
      <c r="B16" s="234">
        <f t="shared" si="0"/>
        <v>77839</v>
      </c>
      <c r="C16" s="234">
        <f t="shared" si="1"/>
        <v>2303979</v>
      </c>
      <c r="D16" s="234">
        <v>72006</v>
      </c>
      <c r="E16" s="234">
        <v>1965607</v>
      </c>
      <c r="F16" s="224">
        <v>1156828</v>
      </c>
      <c r="G16" s="224">
        <v>4574</v>
      </c>
      <c r="H16" s="269">
        <v>338372</v>
      </c>
      <c r="I16" s="223">
        <v>1259</v>
      </c>
    </row>
    <row r="17" spans="1:9" ht="12.75">
      <c r="A17" s="32" t="s">
        <v>34</v>
      </c>
      <c r="B17" s="234">
        <f t="shared" si="0"/>
        <v>19788</v>
      </c>
      <c r="C17" s="234">
        <f t="shared" si="1"/>
        <v>374826</v>
      </c>
      <c r="D17" s="234">
        <v>19115</v>
      </c>
      <c r="E17" s="234">
        <v>337474</v>
      </c>
      <c r="F17" s="224">
        <v>222118</v>
      </c>
      <c r="G17" s="224">
        <v>575</v>
      </c>
      <c r="H17" s="269">
        <v>37352</v>
      </c>
      <c r="I17" s="223">
        <v>98</v>
      </c>
    </row>
    <row r="18" spans="1:9" ht="12.75">
      <c r="A18" s="32" t="s">
        <v>35</v>
      </c>
      <c r="B18" s="234">
        <f t="shared" si="0"/>
        <v>175454</v>
      </c>
      <c r="C18" s="234">
        <f t="shared" si="1"/>
        <v>8150108</v>
      </c>
      <c r="D18" s="234">
        <v>153379</v>
      </c>
      <c r="E18" s="234">
        <v>7193424</v>
      </c>
      <c r="F18" s="224">
        <v>5783831</v>
      </c>
      <c r="G18" s="224">
        <v>16183</v>
      </c>
      <c r="H18" s="269">
        <v>956684</v>
      </c>
      <c r="I18" s="223">
        <v>5892</v>
      </c>
    </row>
    <row r="19" spans="1:9" ht="12.75">
      <c r="A19" s="32" t="s">
        <v>36</v>
      </c>
      <c r="B19" s="234">
        <f t="shared" si="0"/>
        <v>16939</v>
      </c>
      <c r="C19" s="234">
        <f t="shared" si="1"/>
        <v>543470</v>
      </c>
      <c r="D19" s="234">
        <v>14979</v>
      </c>
      <c r="E19" s="234">
        <v>470854</v>
      </c>
      <c r="F19" s="224">
        <v>375372</v>
      </c>
      <c r="G19" s="224">
        <v>1388</v>
      </c>
      <c r="H19" s="269">
        <v>72616</v>
      </c>
      <c r="I19" s="223">
        <v>572</v>
      </c>
    </row>
    <row r="20" spans="1:9" ht="12.75">
      <c r="A20" s="32" t="s">
        <v>37</v>
      </c>
      <c r="B20" s="234">
        <f t="shared" si="0"/>
        <v>197668</v>
      </c>
      <c r="C20" s="234">
        <f t="shared" si="1"/>
        <v>6869606</v>
      </c>
      <c r="D20" s="234">
        <v>182463</v>
      </c>
      <c r="E20" s="234">
        <v>5972607</v>
      </c>
      <c r="F20" s="224">
        <v>4581592</v>
      </c>
      <c r="G20" s="224">
        <v>12379</v>
      </c>
      <c r="H20" s="269">
        <v>896999</v>
      </c>
      <c r="I20" s="223">
        <v>2826</v>
      </c>
    </row>
    <row r="21" spans="1:9" ht="12.75">
      <c r="A21" s="32" t="s">
        <v>38</v>
      </c>
      <c r="B21" s="234">
        <f t="shared" si="0"/>
        <v>227676</v>
      </c>
      <c r="C21" s="234">
        <f t="shared" si="1"/>
        <v>1688910</v>
      </c>
      <c r="D21" s="234">
        <v>215747</v>
      </c>
      <c r="E21" s="234">
        <v>1196490</v>
      </c>
      <c r="F21" s="224">
        <v>746673</v>
      </c>
      <c r="G21" s="224">
        <v>10954</v>
      </c>
      <c r="H21" s="269">
        <v>492420</v>
      </c>
      <c r="I21" s="223">
        <v>975</v>
      </c>
    </row>
    <row r="22" spans="1:9" ht="12.75">
      <c r="A22" s="32" t="s">
        <v>39</v>
      </c>
      <c r="B22" s="234">
        <f t="shared" si="0"/>
        <v>59974</v>
      </c>
      <c r="C22" s="234">
        <f t="shared" si="1"/>
        <v>855648</v>
      </c>
      <c r="D22" s="234">
        <v>56356</v>
      </c>
      <c r="E22" s="234">
        <v>681489</v>
      </c>
      <c r="F22" s="224">
        <v>457032</v>
      </c>
      <c r="G22" s="224">
        <v>3046</v>
      </c>
      <c r="H22" s="269">
        <v>174159</v>
      </c>
      <c r="I22" s="223">
        <v>572</v>
      </c>
    </row>
    <row r="23" spans="1:9" ht="12.75">
      <c r="A23" s="32" t="s">
        <v>40</v>
      </c>
      <c r="B23" s="234">
        <f t="shared" si="0"/>
        <v>110891</v>
      </c>
      <c r="C23" s="234">
        <f t="shared" si="1"/>
        <v>3694186</v>
      </c>
      <c r="D23" s="234">
        <v>105952</v>
      </c>
      <c r="E23" s="234">
        <v>3479432</v>
      </c>
      <c r="F23" s="224">
        <v>2931680</v>
      </c>
      <c r="G23" s="224">
        <v>2294</v>
      </c>
      <c r="H23" s="269">
        <v>214754</v>
      </c>
      <c r="I23" s="223">
        <v>2645</v>
      </c>
    </row>
    <row r="24" spans="1:9" ht="12.75">
      <c r="A24" s="32" t="s">
        <v>41</v>
      </c>
      <c r="B24" s="234">
        <f t="shared" si="0"/>
        <v>369768</v>
      </c>
      <c r="C24" s="234">
        <f t="shared" si="1"/>
        <v>7789011</v>
      </c>
      <c r="D24" s="234">
        <v>354055</v>
      </c>
      <c r="E24" s="234">
        <v>6533953</v>
      </c>
      <c r="F24" s="234">
        <v>4974175</v>
      </c>
      <c r="G24" s="234">
        <v>10856</v>
      </c>
      <c r="H24" s="229">
        <v>1255058</v>
      </c>
      <c r="I24" s="223">
        <v>4857</v>
      </c>
    </row>
    <row r="25" spans="1:9" ht="12.75">
      <c r="A25" s="32" t="s">
        <v>42</v>
      </c>
      <c r="B25" s="234">
        <f t="shared" si="0"/>
        <v>37295</v>
      </c>
      <c r="C25" s="234">
        <f t="shared" si="1"/>
        <v>455073</v>
      </c>
      <c r="D25" s="234">
        <v>33268</v>
      </c>
      <c r="E25" s="234">
        <v>199528</v>
      </c>
      <c r="F25" s="224">
        <v>77527</v>
      </c>
      <c r="G25" s="224">
        <v>2864</v>
      </c>
      <c r="H25" s="269">
        <v>255545</v>
      </c>
      <c r="I25" s="223">
        <v>1163</v>
      </c>
    </row>
    <row r="26" spans="1:9" ht="12.75">
      <c r="A26" s="32" t="s">
        <v>227</v>
      </c>
      <c r="B26" s="234">
        <v>15</v>
      </c>
      <c r="C26" s="234">
        <v>778.759</v>
      </c>
      <c r="D26" s="234">
        <v>6</v>
      </c>
      <c r="E26" s="403" t="s">
        <v>258</v>
      </c>
      <c r="F26" s="224">
        <v>51</v>
      </c>
      <c r="G26" s="224">
        <f>B26-D26</f>
        <v>9</v>
      </c>
      <c r="H26" s="403" t="s">
        <v>259</v>
      </c>
      <c r="I26" s="232" t="s">
        <v>142</v>
      </c>
    </row>
    <row r="27" spans="1:9" ht="12.75">
      <c r="A27" s="32" t="s">
        <v>228</v>
      </c>
      <c r="B27" s="234">
        <v>33</v>
      </c>
      <c r="C27" s="234">
        <v>320.849</v>
      </c>
      <c r="D27" s="234">
        <v>10</v>
      </c>
      <c r="E27" s="403"/>
      <c r="F27" s="224">
        <v>25</v>
      </c>
      <c r="G27" s="224">
        <f>B27-D27</f>
        <v>23</v>
      </c>
      <c r="H27" s="403"/>
      <c r="I27" s="232" t="s">
        <v>142</v>
      </c>
    </row>
    <row r="28" spans="1:9" ht="12.75">
      <c r="A28"/>
      <c r="B28" s="234"/>
      <c r="C28" s="221"/>
      <c r="D28" s="234"/>
      <c r="E28" s="234"/>
      <c r="F28" s="224"/>
      <c r="G28" s="224"/>
      <c r="H28" s="239"/>
      <c r="I28" s="227"/>
    </row>
    <row r="29" spans="1:9" s="235" customFormat="1" ht="13.5" thickBot="1">
      <c r="A29" s="129" t="s">
        <v>200</v>
      </c>
      <c r="B29" s="270">
        <f aca="true" t="shared" si="2" ref="B29:H29">SUM(B9:B27)</f>
        <v>1790162</v>
      </c>
      <c r="C29" s="270">
        <f t="shared" si="2"/>
        <v>42180950.608</v>
      </c>
      <c r="D29" s="270">
        <f t="shared" si="2"/>
        <v>1655124</v>
      </c>
      <c r="E29" s="270">
        <f t="shared" si="2"/>
        <v>35543537</v>
      </c>
      <c r="F29" s="270">
        <f t="shared" si="2"/>
        <v>26316788</v>
      </c>
      <c r="G29" s="270">
        <f t="shared" si="2"/>
        <v>109332</v>
      </c>
      <c r="H29" s="270">
        <f t="shared" si="2"/>
        <v>6636314</v>
      </c>
      <c r="I29" s="228">
        <f>SUM(I9:I28)</f>
        <v>25706</v>
      </c>
    </row>
    <row r="30" ht="12.75">
      <c r="A30" s="20" t="s">
        <v>229</v>
      </c>
    </row>
    <row r="31" spans="1:12" ht="12.75">
      <c r="A31" s="1" t="s">
        <v>203</v>
      </c>
      <c r="D31" s="273"/>
      <c r="E31" s="356"/>
      <c r="F31" s="272"/>
      <c r="G31" s="272"/>
      <c r="H31" s="355"/>
      <c r="I31" s="273"/>
      <c r="J31" s="272"/>
      <c r="K31" s="272"/>
      <c r="L31" s="272"/>
    </row>
    <row r="32" spans="1:12" ht="12.75">
      <c r="A32" s="18" t="s">
        <v>266</v>
      </c>
      <c r="C32" s="273"/>
      <c r="D32" s="272"/>
      <c r="E32" s="271"/>
      <c r="F32" s="271"/>
      <c r="G32" s="271"/>
      <c r="I32" s="272"/>
      <c r="J32" s="229"/>
      <c r="K32" s="229"/>
      <c r="L32" s="229"/>
    </row>
    <row r="33" spans="1:12" ht="12.75">
      <c r="A33" s="20" t="s">
        <v>265</v>
      </c>
      <c r="C33" s="272"/>
      <c r="D33" s="272"/>
      <c r="E33" s="271"/>
      <c r="F33" s="271"/>
      <c r="G33" s="271"/>
      <c r="I33" s="272"/>
      <c r="J33" s="229"/>
      <c r="K33" s="229"/>
      <c r="L33" s="271"/>
    </row>
    <row r="34" spans="1:12" ht="12.75">
      <c r="A34" s="20" t="s">
        <v>260</v>
      </c>
      <c r="C34" s="272"/>
      <c r="D34"/>
      <c r="E34"/>
      <c r="F34"/>
      <c r="G34"/>
      <c r="I34" s="272"/>
      <c r="J34" s="229"/>
      <c r="K34" s="229"/>
      <c r="L34" s="229"/>
    </row>
    <row r="35" spans="4:12" ht="12.75">
      <c r="D35"/>
      <c r="E35"/>
      <c r="F35"/>
      <c r="G35"/>
      <c r="I35"/>
      <c r="J35"/>
      <c r="K35"/>
      <c r="L35"/>
    </row>
    <row r="36" spans="9:12" ht="12.75">
      <c r="I36"/>
      <c r="J36"/>
      <c r="K36"/>
      <c r="L36"/>
    </row>
  </sheetData>
  <mergeCells count="8">
    <mergeCell ref="A1:I1"/>
    <mergeCell ref="A3:I3"/>
    <mergeCell ref="A4:I4"/>
    <mergeCell ref="E26:E27"/>
    <mergeCell ref="H26:H27"/>
    <mergeCell ref="D6:H6"/>
    <mergeCell ref="D7:F7"/>
    <mergeCell ref="G7:H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J32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0.7109375" style="20" customWidth="1"/>
    <col min="2" max="2" width="11.7109375" style="20" customWidth="1"/>
    <col min="3" max="3" width="12.7109375" style="20" customWidth="1"/>
    <col min="4" max="4" width="11.7109375" style="20" customWidth="1"/>
    <col min="5" max="6" width="12.7109375" style="20" customWidth="1"/>
    <col min="7" max="7" width="11.7109375" style="20" customWidth="1"/>
    <col min="8" max="8" width="13.28125" style="20" customWidth="1"/>
    <col min="9" max="9" width="15.421875" style="20" customWidth="1"/>
    <col min="10" max="16384" width="19.140625" style="20" customWidth="1"/>
  </cols>
  <sheetData>
    <row r="1" spans="1:9" ht="18">
      <c r="A1" s="426" t="s">
        <v>139</v>
      </c>
      <c r="B1" s="426"/>
      <c r="C1" s="426"/>
      <c r="D1" s="426"/>
      <c r="E1" s="426"/>
      <c r="F1" s="426"/>
      <c r="G1" s="426"/>
      <c r="H1" s="426"/>
      <c r="I1" s="426"/>
    </row>
    <row r="3" spans="1:9" ht="15">
      <c r="A3" s="427" t="s">
        <v>205</v>
      </c>
      <c r="B3" s="427"/>
      <c r="C3" s="427"/>
      <c r="D3" s="427"/>
      <c r="E3" s="427"/>
      <c r="F3" s="427"/>
      <c r="G3" s="427"/>
      <c r="H3" s="427"/>
      <c r="I3" s="427"/>
    </row>
    <row r="4" spans="1:9" ht="15">
      <c r="A4" s="427" t="s">
        <v>241</v>
      </c>
      <c r="B4" s="427"/>
      <c r="C4" s="427"/>
      <c r="D4" s="427"/>
      <c r="E4" s="427"/>
      <c r="F4" s="427"/>
      <c r="G4" s="427"/>
      <c r="H4" s="427"/>
      <c r="I4" s="427"/>
    </row>
    <row r="5" spans="1:9" ht="12.75">
      <c r="A5" s="21"/>
      <c r="B5" s="21"/>
      <c r="C5" s="21"/>
      <c r="D5" s="21"/>
      <c r="E5" s="21"/>
      <c r="F5" s="21"/>
      <c r="G5" s="21"/>
      <c r="H5" s="21"/>
      <c r="I5" s="21"/>
    </row>
    <row r="6" spans="1:9" ht="12.75">
      <c r="A6" s="31"/>
      <c r="B6" s="404" t="s">
        <v>43</v>
      </c>
      <c r="C6" s="402"/>
      <c r="D6" s="404" t="s">
        <v>44</v>
      </c>
      <c r="E6" s="402"/>
      <c r="F6" s="404" t="s">
        <v>45</v>
      </c>
      <c r="G6" s="402"/>
      <c r="H6" s="404" t="s">
        <v>46</v>
      </c>
      <c r="I6" s="401"/>
    </row>
    <row r="7" spans="1:9" ht="12.75">
      <c r="A7" s="35" t="s">
        <v>22</v>
      </c>
      <c r="B7" s="33" t="s">
        <v>147</v>
      </c>
      <c r="C7" s="33" t="s">
        <v>20</v>
      </c>
      <c r="D7" s="33" t="s">
        <v>147</v>
      </c>
      <c r="E7" s="33" t="s">
        <v>20</v>
      </c>
      <c r="F7" s="33" t="s">
        <v>147</v>
      </c>
      <c r="G7" s="33" t="s">
        <v>20</v>
      </c>
      <c r="H7" s="33" t="s">
        <v>147</v>
      </c>
      <c r="I7" s="37" t="s">
        <v>20</v>
      </c>
    </row>
    <row r="8" spans="1:9" ht="13.5" thickBot="1">
      <c r="A8" s="132"/>
      <c r="B8" s="127" t="s">
        <v>78</v>
      </c>
      <c r="C8" s="127" t="s">
        <v>158</v>
      </c>
      <c r="D8" s="127" t="s">
        <v>78</v>
      </c>
      <c r="E8" s="127" t="s">
        <v>158</v>
      </c>
      <c r="F8" s="127" t="s">
        <v>78</v>
      </c>
      <c r="G8" s="127" t="s">
        <v>158</v>
      </c>
      <c r="H8" s="127" t="s">
        <v>78</v>
      </c>
      <c r="I8" s="128" t="s">
        <v>158</v>
      </c>
    </row>
    <row r="9" spans="1:9" ht="12.75">
      <c r="A9" s="32" t="s">
        <v>26</v>
      </c>
      <c r="B9" s="38">
        <v>268995</v>
      </c>
      <c r="C9" s="222">
        <v>2041799</v>
      </c>
      <c r="D9" s="38">
        <v>219678</v>
      </c>
      <c r="E9" s="38">
        <v>258878</v>
      </c>
      <c r="F9" s="38">
        <v>171462</v>
      </c>
      <c r="G9" s="38">
        <v>437812</v>
      </c>
      <c r="H9" s="38">
        <v>252714</v>
      </c>
      <c r="I9" s="39">
        <v>1345108</v>
      </c>
    </row>
    <row r="10" spans="1:9" ht="12.75">
      <c r="A10" s="32" t="s">
        <v>27</v>
      </c>
      <c r="B10" s="38">
        <v>42824</v>
      </c>
      <c r="C10" s="222">
        <v>797620</v>
      </c>
      <c r="D10" s="38">
        <v>33241</v>
      </c>
      <c r="E10" s="38">
        <v>27647</v>
      </c>
      <c r="F10" s="38">
        <v>39819</v>
      </c>
      <c r="G10" s="38">
        <v>445462</v>
      </c>
      <c r="H10" s="38">
        <v>30063</v>
      </c>
      <c r="I10" s="39">
        <v>324511</v>
      </c>
    </row>
    <row r="11" spans="1:9" ht="12.75">
      <c r="A11" s="32" t="s">
        <v>28</v>
      </c>
      <c r="B11" s="38">
        <v>18153</v>
      </c>
      <c r="C11" s="222">
        <v>462823</v>
      </c>
      <c r="D11" s="38">
        <v>8456</v>
      </c>
      <c r="E11" s="38">
        <v>6340</v>
      </c>
      <c r="F11" s="38">
        <v>16923</v>
      </c>
      <c r="G11" s="38">
        <v>270049</v>
      </c>
      <c r="H11" s="38">
        <v>9170</v>
      </c>
      <c r="I11" s="39">
        <v>186433</v>
      </c>
    </row>
    <row r="12" spans="1:9" ht="12.75">
      <c r="A12" s="32" t="s">
        <v>29</v>
      </c>
      <c r="B12" s="38">
        <v>39634</v>
      </c>
      <c r="C12" s="222">
        <v>606187</v>
      </c>
      <c r="D12" s="38">
        <v>29422</v>
      </c>
      <c r="E12" s="38">
        <v>85170</v>
      </c>
      <c r="F12" s="38">
        <v>28253</v>
      </c>
      <c r="G12" s="38">
        <v>174150</v>
      </c>
      <c r="H12" s="38">
        <v>35084</v>
      </c>
      <c r="I12" s="39">
        <v>346867</v>
      </c>
    </row>
    <row r="13" spans="1:9" ht="12.75">
      <c r="A13" s="32" t="s">
        <v>30</v>
      </c>
      <c r="B13" s="38">
        <v>25040</v>
      </c>
      <c r="C13" s="222">
        <v>952502</v>
      </c>
      <c r="D13" s="38">
        <v>21266</v>
      </c>
      <c r="E13" s="38">
        <v>329495</v>
      </c>
      <c r="F13" s="38">
        <v>7984</v>
      </c>
      <c r="G13" s="38">
        <v>271947</v>
      </c>
      <c r="H13" s="38">
        <v>10948</v>
      </c>
      <c r="I13" s="39">
        <v>351060</v>
      </c>
    </row>
    <row r="14" spans="1:9" ht="12.75">
      <c r="A14" s="32" t="s">
        <v>31</v>
      </c>
      <c r="B14" s="38">
        <v>19085</v>
      </c>
      <c r="C14" s="222">
        <v>447932</v>
      </c>
      <c r="D14" s="38">
        <v>16397</v>
      </c>
      <c r="E14" s="38">
        <v>140474</v>
      </c>
      <c r="F14" s="38">
        <v>1733</v>
      </c>
      <c r="G14" s="38">
        <v>99757</v>
      </c>
      <c r="H14" s="38">
        <v>8270</v>
      </c>
      <c r="I14" s="39">
        <v>207701</v>
      </c>
    </row>
    <row r="15" spans="1:9" ht="12.75">
      <c r="A15" s="32" t="s">
        <v>32</v>
      </c>
      <c r="B15" s="38">
        <v>78244</v>
      </c>
      <c r="C15" s="222">
        <v>4146172</v>
      </c>
      <c r="D15" s="38">
        <v>70383</v>
      </c>
      <c r="E15" s="38">
        <v>1720205</v>
      </c>
      <c r="F15" s="38">
        <v>6709</v>
      </c>
      <c r="G15" s="38">
        <v>742495</v>
      </c>
      <c r="H15" s="38">
        <v>40965</v>
      </c>
      <c r="I15" s="39">
        <v>1683471</v>
      </c>
    </row>
    <row r="16" spans="1:9" ht="12.75">
      <c r="A16" s="32" t="s">
        <v>33</v>
      </c>
      <c r="B16" s="38">
        <v>76580</v>
      </c>
      <c r="C16" s="222">
        <v>2303979</v>
      </c>
      <c r="D16" s="38">
        <v>70770</v>
      </c>
      <c r="E16" s="38">
        <v>817031</v>
      </c>
      <c r="F16" s="38">
        <v>4607</v>
      </c>
      <c r="G16" s="38">
        <v>339797</v>
      </c>
      <c r="H16" s="38">
        <v>43743</v>
      </c>
      <c r="I16" s="39">
        <v>1147151</v>
      </c>
    </row>
    <row r="17" spans="1:9" ht="12.75">
      <c r="A17" s="32" t="s">
        <v>34</v>
      </c>
      <c r="B17" s="38">
        <v>19690</v>
      </c>
      <c r="C17" s="222">
        <v>374826</v>
      </c>
      <c r="D17" s="38">
        <v>19054</v>
      </c>
      <c r="E17" s="38">
        <v>199808</v>
      </c>
      <c r="F17" s="38">
        <v>840</v>
      </c>
      <c r="G17" s="38">
        <v>22310</v>
      </c>
      <c r="H17" s="38">
        <v>13511</v>
      </c>
      <c r="I17" s="39">
        <v>152708</v>
      </c>
    </row>
    <row r="18" spans="1:9" ht="12.75">
      <c r="A18" s="32" t="s">
        <v>35</v>
      </c>
      <c r="B18" s="38">
        <v>169562</v>
      </c>
      <c r="C18" s="222">
        <v>8150108</v>
      </c>
      <c r="D18" s="38">
        <v>137414</v>
      </c>
      <c r="E18" s="38">
        <v>3557705</v>
      </c>
      <c r="F18" s="38">
        <v>53379</v>
      </c>
      <c r="G18" s="38">
        <v>2226126</v>
      </c>
      <c r="H18" s="38">
        <v>94712</v>
      </c>
      <c r="I18" s="39">
        <v>2366277</v>
      </c>
    </row>
    <row r="19" spans="1:9" ht="12.75">
      <c r="A19" s="32" t="s">
        <v>36</v>
      </c>
      <c r="B19" s="38">
        <v>16367</v>
      </c>
      <c r="C19" s="222">
        <v>543470</v>
      </c>
      <c r="D19" s="38">
        <v>12761</v>
      </c>
      <c r="E19" s="38">
        <v>215805</v>
      </c>
      <c r="F19" s="38">
        <v>3538</v>
      </c>
      <c r="G19" s="38">
        <v>159567</v>
      </c>
      <c r="H19" s="38">
        <v>5552</v>
      </c>
      <c r="I19" s="39">
        <v>168098</v>
      </c>
    </row>
    <row r="20" spans="1:9" ht="12.75">
      <c r="A20" s="32" t="s">
        <v>37</v>
      </c>
      <c r="B20" s="38">
        <v>194842</v>
      </c>
      <c r="C20" s="222">
        <v>6869606</v>
      </c>
      <c r="D20" s="38">
        <v>178645</v>
      </c>
      <c r="E20" s="38">
        <v>3763479</v>
      </c>
      <c r="F20" s="38">
        <v>17305</v>
      </c>
      <c r="G20" s="38">
        <v>818113</v>
      </c>
      <c r="H20" s="38">
        <v>72498</v>
      </c>
      <c r="I20" s="39">
        <v>2288014</v>
      </c>
    </row>
    <row r="21" spans="1:9" ht="12.75">
      <c r="A21" s="32" t="s">
        <v>38</v>
      </c>
      <c r="B21" s="38">
        <v>226701</v>
      </c>
      <c r="C21" s="222">
        <v>1688910</v>
      </c>
      <c r="D21" s="38">
        <v>215314</v>
      </c>
      <c r="E21" s="38">
        <v>620545</v>
      </c>
      <c r="F21" s="38">
        <v>2052</v>
      </c>
      <c r="G21" s="38">
        <v>126128</v>
      </c>
      <c r="H21" s="38">
        <v>92262</v>
      </c>
      <c r="I21" s="39">
        <v>942237</v>
      </c>
    </row>
    <row r="22" spans="1:9" ht="12.75">
      <c r="A22" s="32" t="s">
        <v>39</v>
      </c>
      <c r="B22" s="38">
        <v>59402</v>
      </c>
      <c r="C22" s="222">
        <v>855648</v>
      </c>
      <c r="D22" s="38">
        <v>56254</v>
      </c>
      <c r="E22" s="38">
        <v>440986</v>
      </c>
      <c r="F22" s="38">
        <v>492</v>
      </c>
      <c r="G22" s="38">
        <v>16046</v>
      </c>
      <c r="H22" s="38">
        <v>22823</v>
      </c>
      <c r="I22" s="39">
        <v>398616</v>
      </c>
    </row>
    <row r="23" spans="1:9" ht="12.75">
      <c r="A23" s="32" t="s">
        <v>40</v>
      </c>
      <c r="B23" s="38">
        <v>108246</v>
      </c>
      <c r="C23" s="222">
        <v>3694186</v>
      </c>
      <c r="D23" s="38">
        <v>97029</v>
      </c>
      <c r="E23" s="38">
        <v>1144382</v>
      </c>
      <c r="F23" s="38">
        <v>39441</v>
      </c>
      <c r="G23" s="38">
        <v>1787298</v>
      </c>
      <c r="H23" s="38">
        <v>41192</v>
      </c>
      <c r="I23" s="39">
        <v>762506</v>
      </c>
    </row>
    <row r="24" spans="1:9" ht="12.75">
      <c r="A24" s="32" t="s">
        <v>41</v>
      </c>
      <c r="B24" s="38">
        <v>364911</v>
      </c>
      <c r="C24" s="222">
        <v>7789011</v>
      </c>
      <c r="D24" s="38">
        <v>348469</v>
      </c>
      <c r="E24" s="38">
        <v>3544931</v>
      </c>
      <c r="F24" s="38">
        <v>23753</v>
      </c>
      <c r="G24" s="38">
        <v>1429244</v>
      </c>
      <c r="H24" s="38">
        <v>115629</v>
      </c>
      <c r="I24" s="39">
        <v>2814835</v>
      </c>
    </row>
    <row r="25" spans="1:9" ht="12.75">
      <c r="A25" s="32" t="s">
        <v>42</v>
      </c>
      <c r="B25" s="38">
        <v>36132</v>
      </c>
      <c r="C25" s="222">
        <v>455073</v>
      </c>
      <c r="D25" s="38">
        <v>32822</v>
      </c>
      <c r="E25" s="38">
        <v>47448</v>
      </c>
      <c r="F25" s="38">
        <v>3082</v>
      </c>
      <c r="G25" s="38">
        <v>30079</v>
      </c>
      <c r="H25" s="38">
        <v>22828</v>
      </c>
      <c r="I25" s="39">
        <v>377546</v>
      </c>
    </row>
    <row r="26" spans="1:9" ht="12.75">
      <c r="A26" s="32" t="s">
        <v>227</v>
      </c>
      <c r="B26" s="234">
        <v>15</v>
      </c>
      <c r="C26" s="224">
        <v>779</v>
      </c>
      <c r="D26" s="234">
        <v>5</v>
      </c>
      <c r="E26" s="224">
        <v>3</v>
      </c>
      <c r="F26" s="225">
        <v>2</v>
      </c>
      <c r="G26" s="225">
        <v>48</v>
      </c>
      <c r="H26" s="225">
        <v>14</v>
      </c>
      <c r="I26" s="232">
        <v>728</v>
      </c>
    </row>
    <row r="27" spans="1:9" ht="12.75">
      <c r="A27" s="32" t="s">
        <v>228</v>
      </c>
      <c r="B27" s="234">
        <v>33</v>
      </c>
      <c r="C27" s="224">
        <v>321</v>
      </c>
      <c r="D27" s="234">
        <v>10</v>
      </c>
      <c r="E27" s="224">
        <v>25</v>
      </c>
      <c r="F27" s="236" t="s">
        <v>142</v>
      </c>
      <c r="G27" s="237" t="s">
        <v>142</v>
      </c>
      <c r="H27" s="222">
        <v>32</v>
      </c>
      <c r="I27" s="232">
        <v>296</v>
      </c>
    </row>
    <row r="28" spans="1:9" ht="12.75">
      <c r="A28" s="32"/>
      <c r="B28" s="36"/>
      <c r="C28" s="225"/>
      <c r="D28" s="36"/>
      <c r="E28" s="36"/>
      <c r="F28" s="36"/>
      <c r="G28" s="36"/>
      <c r="H28" s="36"/>
      <c r="I28" s="34"/>
    </row>
    <row r="29" spans="1:10" ht="13.5" thickBot="1">
      <c r="A29" s="129" t="s">
        <v>200</v>
      </c>
      <c r="B29" s="130">
        <f>SUM(B9:B28)</f>
        <v>1764456</v>
      </c>
      <c r="C29" s="375">
        <v>42180951</v>
      </c>
      <c r="D29" s="130">
        <f aca="true" t="shared" si="0" ref="D29:I29">SUM(D9:D28)</f>
        <v>1567390</v>
      </c>
      <c r="E29" s="130">
        <f t="shared" si="0"/>
        <v>16920357</v>
      </c>
      <c r="F29" s="130">
        <f t="shared" si="0"/>
        <v>421374</v>
      </c>
      <c r="G29" s="130">
        <f t="shared" si="0"/>
        <v>9396428</v>
      </c>
      <c r="H29" s="130">
        <f t="shared" si="0"/>
        <v>912010</v>
      </c>
      <c r="I29" s="131">
        <f t="shared" si="0"/>
        <v>15864163</v>
      </c>
      <c r="J29" s="368"/>
    </row>
    <row r="30" ht="12.75">
      <c r="A30" s="20" t="s">
        <v>229</v>
      </c>
    </row>
    <row r="31" ht="12.75">
      <c r="A31" s="1" t="s">
        <v>203</v>
      </c>
    </row>
    <row r="32" ht="12.75">
      <c r="A32" s="20" t="s">
        <v>265</v>
      </c>
    </row>
  </sheetData>
  <mergeCells count="7">
    <mergeCell ref="A1:I1"/>
    <mergeCell ref="A3:I3"/>
    <mergeCell ref="A4:I4"/>
    <mergeCell ref="H6:I6"/>
    <mergeCell ref="F6:G6"/>
    <mergeCell ref="D6:E6"/>
    <mergeCell ref="B6:C6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6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R63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7" width="20.7109375" style="18" customWidth="1"/>
    <col min="8" max="16384" width="19.140625" style="18" customWidth="1"/>
  </cols>
  <sheetData>
    <row r="1" spans="1:7" ht="18">
      <c r="A1" s="426" t="s">
        <v>139</v>
      </c>
      <c r="B1" s="426"/>
      <c r="C1" s="426"/>
      <c r="D1" s="426"/>
      <c r="E1" s="426"/>
      <c r="F1" s="426"/>
      <c r="G1" s="426"/>
    </row>
    <row r="3" spans="1:14" ht="15">
      <c r="A3" s="432" t="s">
        <v>206</v>
      </c>
      <c r="B3" s="432"/>
      <c r="C3" s="432"/>
      <c r="D3" s="432"/>
      <c r="E3" s="432"/>
      <c r="F3" s="432"/>
      <c r="G3" s="432"/>
      <c r="H3" s="17"/>
      <c r="I3" s="17"/>
      <c r="J3" s="17"/>
      <c r="K3" s="17"/>
      <c r="L3" s="17"/>
      <c r="M3" s="17"/>
      <c r="N3" s="17"/>
    </row>
    <row r="4" spans="1:7" ht="15">
      <c r="A4" s="433" t="s">
        <v>207</v>
      </c>
      <c r="B4" s="433"/>
      <c r="C4" s="433"/>
      <c r="D4" s="433"/>
      <c r="E4" s="433"/>
      <c r="F4" s="433"/>
      <c r="G4" s="433"/>
    </row>
    <row r="6" spans="1:14" ht="12.75">
      <c r="A6" s="43"/>
      <c r="B6" s="428" t="s">
        <v>148</v>
      </c>
      <c r="C6" s="429"/>
      <c r="D6" s="428" t="s">
        <v>48</v>
      </c>
      <c r="E6" s="430"/>
      <c r="F6" s="431"/>
      <c r="G6" s="431"/>
      <c r="H6" s="17"/>
      <c r="I6" s="17"/>
      <c r="J6" s="17"/>
      <c r="K6" s="17"/>
      <c r="L6" s="17"/>
      <c r="M6" s="17"/>
      <c r="N6" s="17"/>
    </row>
    <row r="7" spans="1:14" ht="12.75">
      <c r="A7" s="44" t="s">
        <v>22</v>
      </c>
      <c r="B7" s="45" t="s">
        <v>155</v>
      </c>
      <c r="C7" s="45" t="s">
        <v>20</v>
      </c>
      <c r="D7" s="428" t="s">
        <v>261</v>
      </c>
      <c r="E7" s="430"/>
      <c r="F7" s="428" t="s">
        <v>161</v>
      </c>
      <c r="G7" s="430"/>
      <c r="H7" s="17"/>
      <c r="I7" s="17"/>
      <c r="J7" s="17"/>
      <c r="K7" s="17"/>
      <c r="L7" s="17"/>
      <c r="M7" s="17"/>
      <c r="N7" s="17"/>
    </row>
    <row r="8" spans="1:14" ht="13.5" thickBot="1">
      <c r="A8" s="133"/>
      <c r="B8" s="134" t="s">
        <v>78</v>
      </c>
      <c r="C8" s="127" t="s">
        <v>158</v>
      </c>
      <c r="D8" s="134" t="s">
        <v>149</v>
      </c>
      <c r="E8" s="134" t="s">
        <v>159</v>
      </c>
      <c r="F8" s="134" t="s">
        <v>149</v>
      </c>
      <c r="G8" s="151" t="s">
        <v>146</v>
      </c>
      <c r="H8" s="17"/>
      <c r="I8" s="17"/>
      <c r="J8" s="17"/>
      <c r="K8" s="17"/>
      <c r="L8" s="17"/>
      <c r="M8" s="17"/>
      <c r="N8" s="17"/>
    </row>
    <row r="9" spans="1:18" ht="12.75">
      <c r="A9" s="48" t="s">
        <v>26</v>
      </c>
      <c r="B9" s="49">
        <v>139195</v>
      </c>
      <c r="C9" s="49">
        <v>22248</v>
      </c>
      <c r="D9" s="49">
        <v>136353</v>
      </c>
      <c r="E9" s="49">
        <v>20172</v>
      </c>
      <c r="F9" s="49">
        <v>10710</v>
      </c>
      <c r="G9" s="50">
        <v>1211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2.75">
      <c r="A10" s="48" t="s">
        <v>27</v>
      </c>
      <c r="B10" s="49">
        <v>20078</v>
      </c>
      <c r="C10" s="49">
        <v>1260</v>
      </c>
      <c r="D10" s="49">
        <v>19535</v>
      </c>
      <c r="E10" s="49">
        <v>895</v>
      </c>
      <c r="F10" s="49">
        <v>1391</v>
      </c>
      <c r="G10" s="50">
        <v>341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2.75">
      <c r="A11" s="48" t="s">
        <v>28</v>
      </c>
      <c r="B11" s="49">
        <v>6024</v>
      </c>
      <c r="C11" s="49">
        <v>672</v>
      </c>
      <c r="D11" s="49">
        <v>5978</v>
      </c>
      <c r="E11" s="49">
        <v>623</v>
      </c>
      <c r="F11" s="49">
        <v>140</v>
      </c>
      <c r="G11" s="50">
        <v>31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2.75">
      <c r="A12" s="48" t="s">
        <v>29</v>
      </c>
      <c r="B12" s="49">
        <v>23525</v>
      </c>
      <c r="C12" s="49">
        <v>10383</v>
      </c>
      <c r="D12" s="49">
        <v>23018</v>
      </c>
      <c r="E12" s="49">
        <v>8244</v>
      </c>
      <c r="F12" s="49">
        <v>1570</v>
      </c>
      <c r="G12" s="50">
        <v>196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2.75">
      <c r="A13" s="48" t="s">
        <v>30</v>
      </c>
      <c r="B13" s="49">
        <v>16319</v>
      </c>
      <c r="C13" s="49">
        <v>70446</v>
      </c>
      <c r="D13" s="49">
        <v>14668</v>
      </c>
      <c r="E13" s="49">
        <v>55977</v>
      </c>
      <c r="F13" s="49">
        <v>2789</v>
      </c>
      <c r="G13" s="50">
        <v>3991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2.75">
      <c r="A14" s="48" t="s">
        <v>31</v>
      </c>
      <c r="B14" s="49">
        <v>11378</v>
      </c>
      <c r="C14" s="49">
        <v>32795</v>
      </c>
      <c r="D14" s="49">
        <v>9229</v>
      </c>
      <c r="E14" s="49">
        <v>19053</v>
      </c>
      <c r="F14" s="49">
        <v>3638</v>
      </c>
      <c r="G14" s="50">
        <v>5136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2.75">
      <c r="A15" s="48" t="s">
        <v>32</v>
      </c>
      <c r="B15" s="49">
        <v>50753</v>
      </c>
      <c r="C15" s="49">
        <v>371978</v>
      </c>
      <c r="D15" s="49">
        <v>40103</v>
      </c>
      <c r="E15" s="49">
        <v>317838</v>
      </c>
      <c r="F15" s="49">
        <v>15279</v>
      </c>
      <c r="G15" s="50">
        <v>38448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2.75">
      <c r="A16" s="48" t="s">
        <v>33</v>
      </c>
      <c r="B16" s="49">
        <v>44770</v>
      </c>
      <c r="C16" s="49">
        <v>228632</v>
      </c>
      <c r="D16" s="49">
        <v>30842</v>
      </c>
      <c r="E16" s="49">
        <v>141946</v>
      </c>
      <c r="F16" s="49">
        <v>19575</v>
      </c>
      <c r="G16" s="50">
        <v>67773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2.75">
      <c r="A17" s="48" t="s">
        <v>34</v>
      </c>
      <c r="B17" s="49">
        <v>9592</v>
      </c>
      <c r="C17" s="49">
        <v>17814</v>
      </c>
      <c r="D17" s="49">
        <v>7151</v>
      </c>
      <c r="E17" s="49">
        <v>13487</v>
      </c>
      <c r="F17" s="49">
        <v>5321</v>
      </c>
      <c r="G17" s="50">
        <v>3861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2.75">
      <c r="A18" s="48" t="s">
        <v>35</v>
      </c>
      <c r="B18" s="49">
        <v>72443</v>
      </c>
      <c r="C18" s="49">
        <v>396680</v>
      </c>
      <c r="D18" s="49">
        <v>69546</v>
      </c>
      <c r="E18" s="49">
        <v>390223</v>
      </c>
      <c r="F18" s="49">
        <v>6611</v>
      </c>
      <c r="G18" s="50">
        <v>3252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2.75">
      <c r="A19" s="48" t="s">
        <v>36</v>
      </c>
      <c r="B19" s="49">
        <v>4092</v>
      </c>
      <c r="C19" s="49">
        <v>24043</v>
      </c>
      <c r="D19" s="49">
        <v>3870</v>
      </c>
      <c r="E19" s="49">
        <v>23100</v>
      </c>
      <c r="F19" s="49">
        <v>133</v>
      </c>
      <c r="G19" s="50">
        <v>159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2.75">
      <c r="A20" s="48" t="s">
        <v>37</v>
      </c>
      <c r="B20" s="49">
        <v>51216</v>
      </c>
      <c r="C20" s="49">
        <v>465109</v>
      </c>
      <c r="D20" s="49">
        <v>34446</v>
      </c>
      <c r="E20" s="49">
        <v>318154</v>
      </c>
      <c r="F20" s="49">
        <v>3850</v>
      </c>
      <c r="G20" s="50">
        <v>8406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2.75">
      <c r="A21" s="48" t="s">
        <v>38</v>
      </c>
      <c r="B21" s="49">
        <v>164818</v>
      </c>
      <c r="C21" s="49">
        <v>282543</v>
      </c>
      <c r="D21" s="49">
        <v>34045</v>
      </c>
      <c r="E21" s="49">
        <v>44508</v>
      </c>
      <c r="F21" s="49">
        <v>137413</v>
      </c>
      <c r="G21" s="50">
        <v>208189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2.75">
      <c r="A22" s="48" t="s">
        <v>39</v>
      </c>
      <c r="B22" s="49">
        <v>43558</v>
      </c>
      <c r="C22" s="49">
        <v>170044</v>
      </c>
      <c r="D22" s="49">
        <v>10607</v>
      </c>
      <c r="E22" s="49">
        <v>67800</v>
      </c>
      <c r="F22" s="49">
        <v>32686</v>
      </c>
      <c r="G22" s="50">
        <v>78354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2.75">
      <c r="A23" s="48" t="s">
        <v>40</v>
      </c>
      <c r="B23" s="49">
        <v>29461</v>
      </c>
      <c r="C23" s="49">
        <v>213909</v>
      </c>
      <c r="D23" s="49">
        <v>24926</v>
      </c>
      <c r="E23" s="49">
        <v>185945</v>
      </c>
      <c r="F23" s="49">
        <v>5110</v>
      </c>
      <c r="G23" s="50">
        <v>13726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2.75">
      <c r="A24" s="48" t="s">
        <v>41</v>
      </c>
      <c r="B24" s="49">
        <v>165913</v>
      </c>
      <c r="C24" s="49">
        <v>825422</v>
      </c>
      <c r="D24" s="49">
        <v>87153</v>
      </c>
      <c r="E24" s="49">
        <v>419837</v>
      </c>
      <c r="F24" s="49">
        <v>40959</v>
      </c>
      <c r="G24" s="50">
        <v>84676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2.75">
      <c r="A25" s="48" t="s">
        <v>42</v>
      </c>
      <c r="B25" s="49">
        <v>24964</v>
      </c>
      <c r="C25" s="49">
        <v>27653</v>
      </c>
      <c r="D25" s="49">
        <v>15552</v>
      </c>
      <c r="E25" s="49">
        <v>10849</v>
      </c>
      <c r="F25" s="49">
        <v>14393</v>
      </c>
      <c r="G25" s="50">
        <v>11101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8" s="20" customFormat="1" ht="12.75">
      <c r="A26" s="32" t="s">
        <v>227</v>
      </c>
      <c r="B26" s="234">
        <v>3</v>
      </c>
      <c r="C26" s="224">
        <v>2</v>
      </c>
      <c r="D26" s="234">
        <v>2</v>
      </c>
      <c r="E26" s="224">
        <v>1</v>
      </c>
      <c r="F26" s="225">
        <v>2</v>
      </c>
      <c r="G26" s="232" t="s">
        <v>142</v>
      </c>
      <c r="H26" s="242"/>
    </row>
    <row r="27" spans="1:8" s="20" customFormat="1" ht="12.75">
      <c r="A27" s="32" t="s">
        <v>228</v>
      </c>
      <c r="B27" s="234">
        <v>8</v>
      </c>
      <c r="C27" s="224">
        <v>4</v>
      </c>
      <c r="D27" s="234">
        <v>8</v>
      </c>
      <c r="E27" s="224">
        <v>3</v>
      </c>
      <c r="F27" s="222">
        <v>2</v>
      </c>
      <c r="G27" s="223">
        <v>1</v>
      </c>
      <c r="H27" s="227"/>
    </row>
    <row r="28" spans="1:18" ht="12.75">
      <c r="A28" s="48"/>
      <c r="B28" s="46"/>
      <c r="C28" s="46"/>
      <c r="D28" s="46"/>
      <c r="E28" s="46"/>
      <c r="F28" s="46"/>
      <c r="G28" s="47"/>
      <c r="H28" s="17"/>
      <c r="I28" s="17"/>
      <c r="J28" s="19"/>
      <c r="K28" s="17"/>
      <c r="L28" s="19"/>
      <c r="M28" s="17"/>
      <c r="N28" s="19"/>
      <c r="O28" s="17"/>
      <c r="P28" s="19"/>
      <c r="Q28" s="17"/>
      <c r="R28" s="19"/>
    </row>
    <row r="29" spans="1:18" ht="13.5" thickBot="1">
      <c r="A29" s="135" t="s">
        <v>200</v>
      </c>
      <c r="B29" s="136">
        <f aca="true" t="shared" si="0" ref="B29:G29">SUM(B9:B27)</f>
        <v>878110</v>
      </c>
      <c r="C29" s="136">
        <f t="shared" si="0"/>
        <v>3161637</v>
      </c>
      <c r="D29" s="136">
        <f t="shared" si="0"/>
        <v>567032</v>
      </c>
      <c r="E29" s="136">
        <f t="shared" si="0"/>
        <v>2038655</v>
      </c>
      <c r="F29" s="136">
        <f t="shared" si="0"/>
        <v>301572</v>
      </c>
      <c r="G29" s="137">
        <f t="shared" si="0"/>
        <v>528852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2:18" ht="12.75">
      <c r="B30" s="200"/>
      <c r="C30" s="200"/>
      <c r="D30" s="200"/>
      <c r="E30" s="200"/>
      <c r="F30" s="200"/>
      <c r="G30" s="200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2:7" ht="12.75">
      <c r="B31" s="202"/>
      <c r="C31" s="202"/>
      <c r="D31" s="202"/>
      <c r="E31" s="202"/>
      <c r="F31" s="202"/>
      <c r="G31" s="202"/>
    </row>
    <row r="32" spans="1:7" ht="12.75">
      <c r="A32" s="202"/>
      <c r="B32" s="202"/>
      <c r="C32" s="202"/>
      <c r="D32" s="202"/>
      <c r="E32" s="202"/>
      <c r="F32" s="202"/>
      <c r="G32" s="202"/>
    </row>
    <row r="33" spans="1:7" ht="12.75">
      <c r="A33" s="202"/>
      <c r="B33" s="202"/>
      <c r="C33" s="202"/>
      <c r="D33" s="202"/>
      <c r="E33" s="202"/>
      <c r="F33" s="202"/>
      <c r="G33" s="202"/>
    </row>
    <row r="34" spans="1:7" ht="12.75">
      <c r="A34" s="202"/>
      <c r="B34" s="202"/>
      <c r="C34" s="202"/>
      <c r="D34" s="202"/>
      <c r="E34" s="202"/>
      <c r="F34" s="202"/>
      <c r="G34" s="202"/>
    </row>
    <row r="35" spans="1:7" ht="12.75">
      <c r="A35" s="202"/>
      <c r="B35" s="202"/>
      <c r="C35" s="202"/>
      <c r="D35" s="202"/>
      <c r="E35" s="202"/>
      <c r="F35" s="202"/>
      <c r="G35" s="202"/>
    </row>
    <row r="36" spans="1:7" ht="12.75">
      <c r="A36" s="203"/>
      <c r="B36" s="203"/>
      <c r="C36" s="203"/>
      <c r="D36" s="203"/>
      <c r="E36" s="203"/>
      <c r="F36" s="203"/>
      <c r="G36" s="203"/>
    </row>
    <row r="37" spans="1:7" ht="12.75">
      <c r="A37" s="43"/>
      <c r="B37" s="436" t="s">
        <v>141</v>
      </c>
      <c r="C37" s="431"/>
      <c r="D37" s="431"/>
      <c r="E37" s="437"/>
      <c r="F37" s="436"/>
      <c r="G37" s="431"/>
    </row>
    <row r="38" spans="1:7" ht="12.75">
      <c r="A38" s="44" t="s">
        <v>22</v>
      </c>
      <c r="B38" s="428" t="s">
        <v>52</v>
      </c>
      <c r="C38" s="429"/>
      <c r="D38" s="428" t="s">
        <v>53</v>
      </c>
      <c r="E38" s="429"/>
      <c r="F38" s="434" t="s">
        <v>51</v>
      </c>
      <c r="G38" s="435"/>
    </row>
    <row r="39" spans="1:7" ht="13.5" thickBot="1">
      <c r="A39" s="138"/>
      <c r="B39" s="134" t="s">
        <v>149</v>
      </c>
      <c r="C39" s="134" t="s">
        <v>159</v>
      </c>
      <c r="D39" s="134" t="s">
        <v>149</v>
      </c>
      <c r="E39" s="134" t="s">
        <v>159</v>
      </c>
      <c r="F39" s="134" t="s">
        <v>149</v>
      </c>
      <c r="G39" s="151" t="s">
        <v>159</v>
      </c>
    </row>
    <row r="40" spans="1:7" ht="12.75">
      <c r="A40" s="48" t="s">
        <v>26</v>
      </c>
      <c r="B40" s="49">
        <v>7</v>
      </c>
      <c r="C40" s="49">
        <v>1</v>
      </c>
      <c r="D40" s="49">
        <v>6429</v>
      </c>
      <c r="E40" s="49">
        <v>734</v>
      </c>
      <c r="F40" s="49">
        <v>476</v>
      </c>
      <c r="G40" s="50">
        <v>130</v>
      </c>
    </row>
    <row r="41" spans="1:7" ht="12.75">
      <c r="A41" s="48" t="s">
        <v>27</v>
      </c>
      <c r="B41" s="238" t="s">
        <v>142</v>
      </c>
      <c r="C41" s="238" t="s">
        <v>142</v>
      </c>
      <c r="D41" s="238" t="s">
        <v>142</v>
      </c>
      <c r="E41" s="238" t="s">
        <v>142</v>
      </c>
      <c r="F41" s="49">
        <v>20</v>
      </c>
      <c r="G41" s="50">
        <v>24</v>
      </c>
    </row>
    <row r="42" spans="1:7" ht="12.75">
      <c r="A42" s="48" t="s">
        <v>28</v>
      </c>
      <c r="B42" s="238" t="s">
        <v>142</v>
      </c>
      <c r="C42" s="238" t="s">
        <v>142</v>
      </c>
      <c r="D42" s="238" t="s">
        <v>142</v>
      </c>
      <c r="E42" s="238" t="s">
        <v>142</v>
      </c>
      <c r="F42" s="49">
        <v>6</v>
      </c>
      <c r="G42" s="50">
        <v>17</v>
      </c>
    </row>
    <row r="43" spans="1:7" ht="12.75">
      <c r="A43" s="48" t="s">
        <v>29</v>
      </c>
      <c r="B43" s="49">
        <v>37</v>
      </c>
      <c r="C43" s="49">
        <v>13</v>
      </c>
      <c r="D43" s="49">
        <v>311</v>
      </c>
      <c r="E43" s="49">
        <v>1891</v>
      </c>
      <c r="F43" s="49">
        <v>34</v>
      </c>
      <c r="G43" s="50">
        <v>38</v>
      </c>
    </row>
    <row r="44" spans="1:7" ht="12.75">
      <c r="A44" s="48" t="s">
        <v>30</v>
      </c>
      <c r="B44" s="49">
        <v>2196</v>
      </c>
      <c r="C44" s="49">
        <v>1364</v>
      </c>
      <c r="D44" s="49">
        <v>2806</v>
      </c>
      <c r="E44" s="49">
        <v>8746</v>
      </c>
      <c r="F44" s="49">
        <v>106</v>
      </c>
      <c r="G44" s="50">
        <v>367</v>
      </c>
    </row>
    <row r="45" spans="1:7" ht="12.75">
      <c r="A45" s="48" t="s">
        <v>31</v>
      </c>
      <c r="B45" s="49">
        <v>1131</v>
      </c>
      <c r="C45" s="49">
        <v>890</v>
      </c>
      <c r="D45" s="49">
        <v>2097</v>
      </c>
      <c r="E45" s="49">
        <v>7647</v>
      </c>
      <c r="F45" s="49">
        <v>28</v>
      </c>
      <c r="G45" s="50">
        <v>69</v>
      </c>
    </row>
    <row r="46" spans="1:7" ht="12.75">
      <c r="A46" s="48" t="s">
        <v>32</v>
      </c>
      <c r="B46" s="49">
        <v>9568</v>
      </c>
      <c r="C46" s="49">
        <v>9415</v>
      </c>
      <c r="D46" s="49">
        <v>3139</v>
      </c>
      <c r="E46" s="49">
        <v>5978</v>
      </c>
      <c r="F46" s="49">
        <v>87</v>
      </c>
      <c r="G46" s="50">
        <v>300</v>
      </c>
    </row>
    <row r="47" spans="1:7" ht="12.75">
      <c r="A47" s="48" t="s">
        <v>33</v>
      </c>
      <c r="B47" s="49">
        <v>8565</v>
      </c>
      <c r="C47" s="49">
        <v>13915</v>
      </c>
      <c r="D47" s="49">
        <v>883</v>
      </c>
      <c r="E47" s="49">
        <v>3283</v>
      </c>
      <c r="F47" s="49">
        <v>988</v>
      </c>
      <c r="G47" s="50">
        <v>1715</v>
      </c>
    </row>
    <row r="48" spans="1:7" ht="12.75">
      <c r="A48" s="48" t="s">
        <v>34</v>
      </c>
      <c r="B48" s="49">
        <v>110</v>
      </c>
      <c r="C48" s="49">
        <v>117</v>
      </c>
      <c r="D48" s="49">
        <v>379</v>
      </c>
      <c r="E48" s="49">
        <v>187</v>
      </c>
      <c r="F48" s="49">
        <v>66</v>
      </c>
      <c r="G48" s="50">
        <v>161</v>
      </c>
    </row>
    <row r="49" spans="1:7" ht="12.75">
      <c r="A49" s="48" t="s">
        <v>35</v>
      </c>
      <c r="B49" s="49">
        <v>240</v>
      </c>
      <c r="C49" s="49">
        <v>113</v>
      </c>
      <c r="D49" s="49">
        <v>407</v>
      </c>
      <c r="E49" s="49">
        <v>2718</v>
      </c>
      <c r="F49" s="49">
        <v>114</v>
      </c>
      <c r="G49" s="50">
        <v>374</v>
      </c>
    </row>
    <row r="50" spans="1:7" ht="12.75">
      <c r="A50" s="48" t="s">
        <v>36</v>
      </c>
      <c r="B50" s="49">
        <v>88</v>
      </c>
      <c r="C50" s="49">
        <v>384</v>
      </c>
      <c r="D50" s="49">
        <v>217</v>
      </c>
      <c r="E50" s="49">
        <v>301</v>
      </c>
      <c r="F50" s="49">
        <v>13</v>
      </c>
      <c r="G50" s="50">
        <v>100</v>
      </c>
    </row>
    <row r="51" spans="1:7" ht="12.75">
      <c r="A51" s="48" t="s">
        <v>37</v>
      </c>
      <c r="B51" s="49">
        <v>7355</v>
      </c>
      <c r="C51" s="49">
        <v>20935</v>
      </c>
      <c r="D51" s="49">
        <v>15275</v>
      </c>
      <c r="E51" s="49">
        <v>117172</v>
      </c>
      <c r="F51" s="49">
        <v>301</v>
      </c>
      <c r="G51" s="50">
        <v>441</v>
      </c>
    </row>
    <row r="52" spans="1:7" ht="12.75">
      <c r="A52" s="48" t="s">
        <v>38</v>
      </c>
      <c r="B52" s="49">
        <v>15169</v>
      </c>
      <c r="C52" s="49">
        <v>8963</v>
      </c>
      <c r="D52" s="49">
        <v>6651</v>
      </c>
      <c r="E52" s="49">
        <v>17945</v>
      </c>
      <c r="F52" s="49">
        <v>1456</v>
      </c>
      <c r="G52" s="50">
        <v>2939</v>
      </c>
    </row>
    <row r="53" spans="1:7" ht="12.75">
      <c r="A53" s="48" t="s">
        <v>39</v>
      </c>
      <c r="B53" s="49">
        <v>7731</v>
      </c>
      <c r="C53" s="49">
        <v>8169</v>
      </c>
      <c r="D53" s="49">
        <v>3124</v>
      </c>
      <c r="E53" s="49">
        <v>15330</v>
      </c>
      <c r="F53" s="49">
        <v>111</v>
      </c>
      <c r="G53" s="50">
        <v>391</v>
      </c>
    </row>
    <row r="54" spans="1:7" ht="12.75">
      <c r="A54" s="48" t="s">
        <v>40</v>
      </c>
      <c r="B54" s="49">
        <v>2122</v>
      </c>
      <c r="C54" s="49">
        <v>10753</v>
      </c>
      <c r="D54" s="49">
        <v>402</v>
      </c>
      <c r="E54" s="49">
        <v>3394</v>
      </c>
      <c r="F54" s="49">
        <v>53</v>
      </c>
      <c r="G54" s="50">
        <v>90</v>
      </c>
    </row>
    <row r="55" spans="1:7" ht="12.75">
      <c r="A55" s="48" t="s">
        <v>41</v>
      </c>
      <c r="B55" s="49">
        <v>69555</v>
      </c>
      <c r="C55" s="49">
        <v>316466</v>
      </c>
      <c r="D55" s="49">
        <v>3965</v>
      </c>
      <c r="E55" s="49">
        <v>3779</v>
      </c>
      <c r="F55" s="49">
        <v>361</v>
      </c>
      <c r="G55" s="50">
        <v>664</v>
      </c>
    </row>
    <row r="56" spans="1:7" ht="12.75">
      <c r="A56" s="48" t="s">
        <v>42</v>
      </c>
      <c r="B56" s="49">
        <v>137</v>
      </c>
      <c r="C56" s="49">
        <v>17</v>
      </c>
      <c r="D56" s="49">
        <v>4669</v>
      </c>
      <c r="E56" s="49">
        <v>2390</v>
      </c>
      <c r="F56" s="49">
        <v>1546</v>
      </c>
      <c r="G56" s="50">
        <v>3296</v>
      </c>
    </row>
    <row r="57" spans="1:8" s="20" customFormat="1" ht="12.75">
      <c r="A57" s="32" t="s">
        <v>227</v>
      </c>
      <c r="B57" s="226" t="s">
        <v>142</v>
      </c>
      <c r="C57" s="239" t="s">
        <v>142</v>
      </c>
      <c r="D57" s="226" t="s">
        <v>142</v>
      </c>
      <c r="E57" s="239" t="s">
        <v>142</v>
      </c>
      <c r="F57" s="240" t="s">
        <v>142</v>
      </c>
      <c r="G57" s="243" t="s">
        <v>142</v>
      </c>
      <c r="H57" s="242"/>
    </row>
    <row r="58" spans="1:8" s="20" customFormat="1" ht="12.75">
      <c r="A58" s="32" t="s">
        <v>228</v>
      </c>
      <c r="B58" s="234">
        <v>2</v>
      </c>
      <c r="C58" s="239" t="s">
        <v>142</v>
      </c>
      <c r="D58" s="234">
        <v>1</v>
      </c>
      <c r="E58" s="239" t="s">
        <v>142</v>
      </c>
      <c r="F58" s="236" t="s">
        <v>142</v>
      </c>
      <c r="G58" s="243" t="s">
        <v>142</v>
      </c>
      <c r="H58" s="227"/>
    </row>
    <row r="59" spans="1:7" ht="12.75">
      <c r="A59" s="48"/>
      <c r="B59" s="46"/>
      <c r="C59" s="46"/>
      <c r="D59" s="46"/>
      <c r="E59" s="46"/>
      <c r="F59" s="46"/>
      <c r="G59" s="47"/>
    </row>
    <row r="60" spans="1:7" ht="13.5" thickBot="1">
      <c r="A60" s="135" t="s">
        <v>200</v>
      </c>
      <c r="B60" s="136">
        <f aca="true" t="shared" si="1" ref="B60:G60">SUM(B40:B58)</f>
        <v>124013</v>
      </c>
      <c r="C60" s="136">
        <f t="shared" si="1"/>
        <v>391515</v>
      </c>
      <c r="D60" s="136">
        <f t="shared" si="1"/>
        <v>50755</v>
      </c>
      <c r="E60" s="136">
        <f t="shared" si="1"/>
        <v>191495</v>
      </c>
      <c r="F60" s="136">
        <f t="shared" si="1"/>
        <v>5766</v>
      </c>
      <c r="G60" s="137">
        <f t="shared" si="1"/>
        <v>11116</v>
      </c>
    </row>
    <row r="61" spans="1:7" ht="12.75">
      <c r="A61" s="17" t="s">
        <v>230</v>
      </c>
      <c r="B61" s="17"/>
      <c r="C61" s="17"/>
      <c r="D61" s="17"/>
      <c r="E61" s="17"/>
      <c r="F61" s="17"/>
      <c r="G61" s="17"/>
    </row>
    <row r="62" ht="12.75">
      <c r="A62" s="201" t="s">
        <v>203</v>
      </c>
    </row>
    <row r="63" ht="12.75">
      <c r="A63" s="202" t="s">
        <v>266</v>
      </c>
    </row>
  </sheetData>
  <mergeCells count="12">
    <mergeCell ref="B38:C38"/>
    <mergeCell ref="D38:E38"/>
    <mergeCell ref="F38:G38"/>
    <mergeCell ref="B37:E37"/>
    <mergeCell ref="F37:G37"/>
    <mergeCell ref="A1:G1"/>
    <mergeCell ref="B6:C6"/>
    <mergeCell ref="D6:G6"/>
    <mergeCell ref="D7:E7"/>
    <mergeCell ref="A3:G3"/>
    <mergeCell ref="A4:G4"/>
    <mergeCell ref="F7:G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J30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6" width="15.7109375" style="0" customWidth="1"/>
    <col min="7" max="7" width="20.57421875" style="0" customWidth="1"/>
    <col min="8" max="8" width="17.140625" style="0" customWidth="1"/>
    <col min="9" max="9" width="12.7109375" style="0" customWidth="1"/>
  </cols>
  <sheetData>
    <row r="1" spans="1:9" ht="18">
      <c r="A1" s="426" t="s">
        <v>139</v>
      </c>
      <c r="B1" s="426"/>
      <c r="C1" s="426"/>
      <c r="D1" s="426"/>
      <c r="E1" s="426"/>
      <c r="F1" s="426"/>
      <c r="G1" s="426"/>
      <c r="H1" s="426"/>
      <c r="I1" s="426"/>
    </row>
    <row r="2" spans="1:9" ht="12.75">
      <c r="A2" s="15"/>
      <c r="B2" s="15"/>
      <c r="C2" s="16"/>
      <c r="D2" s="16"/>
      <c r="E2" s="16"/>
      <c r="F2" s="16"/>
      <c r="G2" s="16"/>
      <c r="H2" s="16"/>
      <c r="I2" s="16"/>
    </row>
    <row r="3" spans="1:9" ht="15">
      <c r="A3" s="441" t="s">
        <v>208</v>
      </c>
      <c r="B3" s="441"/>
      <c r="C3" s="441"/>
      <c r="D3" s="441"/>
      <c r="E3" s="441"/>
      <c r="F3" s="441"/>
      <c r="G3" s="441"/>
      <c r="H3" s="441"/>
      <c r="I3" s="441"/>
    </row>
    <row r="4" spans="1:9" ht="15">
      <c r="A4" s="442" t="s">
        <v>209</v>
      </c>
      <c r="B4" s="442"/>
      <c r="C4" s="442"/>
      <c r="D4" s="442"/>
      <c r="E4" s="442"/>
      <c r="F4" s="442"/>
      <c r="G4" s="442"/>
      <c r="H4" s="442"/>
      <c r="I4" s="442"/>
    </row>
    <row r="5" spans="1:9" ht="12.75">
      <c r="A5" s="443"/>
      <c r="B5" s="443"/>
      <c r="C5" s="443"/>
      <c r="D5" s="443"/>
      <c r="E5" s="443"/>
      <c r="F5" s="443"/>
      <c r="G5" s="443"/>
      <c r="H5" s="443"/>
      <c r="I5" s="443"/>
    </row>
    <row r="6" spans="1:9" ht="12.75">
      <c r="A6" s="145"/>
      <c r="B6" s="400" t="s">
        <v>150</v>
      </c>
      <c r="C6" s="406"/>
      <c r="D6" s="438" t="s">
        <v>55</v>
      </c>
      <c r="E6" s="439"/>
      <c r="F6" s="440" t="s">
        <v>56</v>
      </c>
      <c r="G6" s="439"/>
      <c r="H6" s="440" t="s">
        <v>57</v>
      </c>
      <c r="I6" s="405"/>
    </row>
    <row r="7" spans="1:9" ht="12.75">
      <c r="A7" s="146" t="s">
        <v>22</v>
      </c>
      <c r="B7" s="65" t="s">
        <v>201</v>
      </c>
      <c r="C7" s="148"/>
      <c r="D7" s="65" t="s">
        <v>201</v>
      </c>
      <c r="E7" s="54"/>
      <c r="F7" s="65" t="s">
        <v>201</v>
      </c>
      <c r="G7" s="54"/>
      <c r="H7" s="65" t="s">
        <v>201</v>
      </c>
      <c r="I7" s="55"/>
    </row>
    <row r="8" spans="1:9" ht="13.5" thickBot="1">
      <c r="A8" s="147"/>
      <c r="B8" s="134" t="s">
        <v>78</v>
      </c>
      <c r="C8" s="140" t="s">
        <v>20</v>
      </c>
      <c r="D8" s="134" t="s">
        <v>78</v>
      </c>
      <c r="E8" s="140" t="s">
        <v>20</v>
      </c>
      <c r="F8" s="134" t="s">
        <v>78</v>
      </c>
      <c r="G8" s="140" t="s">
        <v>20</v>
      </c>
      <c r="H8" s="134" t="s">
        <v>78</v>
      </c>
      <c r="I8" s="141" t="s">
        <v>20</v>
      </c>
    </row>
    <row r="9" spans="1:10" ht="12.75">
      <c r="A9" s="56" t="s">
        <v>26</v>
      </c>
      <c r="B9" s="57">
        <f>D9+F9+H9</f>
        <v>2447</v>
      </c>
      <c r="C9" s="57">
        <f>E9+G9+I9</f>
        <v>327</v>
      </c>
      <c r="D9" s="57">
        <v>1646</v>
      </c>
      <c r="E9" s="57">
        <v>172</v>
      </c>
      <c r="F9" s="57">
        <v>780</v>
      </c>
      <c r="G9" s="57">
        <v>149</v>
      </c>
      <c r="H9" s="57">
        <v>21</v>
      </c>
      <c r="I9" s="58">
        <v>6</v>
      </c>
      <c r="J9" s="149"/>
    </row>
    <row r="10" spans="1:10" ht="12.75">
      <c r="A10" s="56" t="s">
        <v>27</v>
      </c>
      <c r="B10" s="57">
        <f aca="true" t="shared" si="0" ref="B10:B25">D10+F10+H10</f>
        <v>422</v>
      </c>
      <c r="C10" s="57">
        <f aca="true" t="shared" si="1" ref="C10:C25">E10+G10+I10</f>
        <v>94</v>
      </c>
      <c r="D10" s="57">
        <v>322</v>
      </c>
      <c r="E10" s="57">
        <v>74</v>
      </c>
      <c r="F10" s="57">
        <v>95</v>
      </c>
      <c r="G10" s="57">
        <v>19</v>
      </c>
      <c r="H10" s="57">
        <v>5</v>
      </c>
      <c r="I10" s="58">
        <v>1</v>
      </c>
      <c r="J10" s="149"/>
    </row>
    <row r="11" spans="1:10" ht="12.75">
      <c r="A11" s="56" t="s">
        <v>28</v>
      </c>
      <c r="B11" s="57">
        <f t="shared" si="0"/>
        <v>138</v>
      </c>
      <c r="C11" s="57">
        <f>E11+G11</f>
        <v>108</v>
      </c>
      <c r="D11" s="57">
        <v>103</v>
      </c>
      <c r="E11" s="57">
        <v>68</v>
      </c>
      <c r="F11" s="57">
        <v>32</v>
      </c>
      <c r="G11" s="57">
        <v>40</v>
      </c>
      <c r="H11" s="57">
        <v>3</v>
      </c>
      <c r="I11" s="249" t="s">
        <v>142</v>
      </c>
      <c r="J11" s="149"/>
    </row>
    <row r="12" spans="1:10" ht="12.75">
      <c r="A12" s="56" t="s">
        <v>29</v>
      </c>
      <c r="B12" s="57">
        <f t="shared" si="0"/>
        <v>1057</v>
      </c>
      <c r="C12" s="57">
        <f t="shared" si="1"/>
        <v>176</v>
      </c>
      <c r="D12" s="57">
        <v>919</v>
      </c>
      <c r="E12" s="57">
        <v>137</v>
      </c>
      <c r="F12" s="57">
        <v>129</v>
      </c>
      <c r="G12" s="57">
        <v>25</v>
      </c>
      <c r="H12" s="57">
        <v>9</v>
      </c>
      <c r="I12" s="58">
        <v>14</v>
      </c>
      <c r="J12" s="149"/>
    </row>
    <row r="13" spans="1:10" ht="12.75">
      <c r="A13" s="56" t="s">
        <v>30</v>
      </c>
      <c r="B13" s="57">
        <f t="shared" si="0"/>
        <v>331</v>
      </c>
      <c r="C13" s="57">
        <f>E13+G13</f>
        <v>135</v>
      </c>
      <c r="D13" s="57">
        <v>292</v>
      </c>
      <c r="E13" s="57">
        <v>118</v>
      </c>
      <c r="F13" s="57">
        <v>37</v>
      </c>
      <c r="G13" s="57">
        <v>17</v>
      </c>
      <c r="H13" s="57">
        <v>2</v>
      </c>
      <c r="I13" s="249" t="s">
        <v>142</v>
      </c>
      <c r="J13" s="149"/>
    </row>
    <row r="14" spans="1:10" ht="12.75">
      <c r="A14" s="56" t="s">
        <v>31</v>
      </c>
      <c r="B14" s="57">
        <f t="shared" si="0"/>
        <v>80</v>
      </c>
      <c r="C14" s="57">
        <f>E14+G14</f>
        <v>39</v>
      </c>
      <c r="D14" s="57">
        <v>69</v>
      </c>
      <c r="E14" s="57">
        <v>36</v>
      </c>
      <c r="F14" s="57">
        <v>10</v>
      </c>
      <c r="G14" s="57">
        <v>3</v>
      </c>
      <c r="H14" s="57">
        <v>1</v>
      </c>
      <c r="I14" s="249" t="s">
        <v>142</v>
      </c>
      <c r="J14" s="149"/>
    </row>
    <row r="15" spans="1:10" ht="12.75">
      <c r="A15" s="56" t="s">
        <v>32</v>
      </c>
      <c r="B15" s="57">
        <f t="shared" si="0"/>
        <v>181</v>
      </c>
      <c r="C15" s="57">
        <f t="shared" si="1"/>
        <v>107</v>
      </c>
      <c r="D15" s="57">
        <v>153</v>
      </c>
      <c r="E15" s="57">
        <v>86</v>
      </c>
      <c r="F15" s="57">
        <v>19</v>
      </c>
      <c r="G15" s="57">
        <v>18</v>
      </c>
      <c r="H15" s="57">
        <v>9</v>
      </c>
      <c r="I15" s="58">
        <v>3</v>
      </c>
      <c r="J15" s="149"/>
    </row>
    <row r="16" spans="1:10" ht="12.75">
      <c r="A16" s="56" t="s">
        <v>33</v>
      </c>
      <c r="B16" s="57">
        <f t="shared" si="0"/>
        <v>999</v>
      </c>
      <c r="C16" s="57">
        <f t="shared" si="1"/>
        <v>571</v>
      </c>
      <c r="D16" s="57">
        <v>667</v>
      </c>
      <c r="E16" s="57">
        <v>303</v>
      </c>
      <c r="F16" s="57">
        <v>302</v>
      </c>
      <c r="G16" s="57">
        <v>260</v>
      </c>
      <c r="H16" s="57">
        <v>30</v>
      </c>
      <c r="I16" s="58">
        <v>8</v>
      </c>
      <c r="J16" s="149"/>
    </row>
    <row r="17" spans="1:10" ht="12.75">
      <c r="A17" s="56" t="s">
        <v>34</v>
      </c>
      <c r="B17" s="57">
        <f t="shared" si="0"/>
        <v>218</v>
      </c>
      <c r="C17" s="57">
        <f t="shared" si="1"/>
        <v>141</v>
      </c>
      <c r="D17" s="57">
        <v>149</v>
      </c>
      <c r="E17" s="57">
        <v>94</v>
      </c>
      <c r="F17" s="57">
        <v>61</v>
      </c>
      <c r="G17" s="57">
        <v>38</v>
      </c>
      <c r="H17" s="57">
        <v>8</v>
      </c>
      <c r="I17" s="58">
        <v>9</v>
      </c>
      <c r="J17" s="149"/>
    </row>
    <row r="18" spans="1:10" ht="12.75">
      <c r="A18" s="56" t="s">
        <v>35</v>
      </c>
      <c r="B18" s="57">
        <f t="shared" si="0"/>
        <v>434</v>
      </c>
      <c r="C18" s="57">
        <f t="shared" si="1"/>
        <v>145</v>
      </c>
      <c r="D18" s="57">
        <v>328</v>
      </c>
      <c r="E18" s="57">
        <v>117</v>
      </c>
      <c r="F18" s="57">
        <v>93</v>
      </c>
      <c r="G18" s="57">
        <v>22</v>
      </c>
      <c r="H18" s="57">
        <v>13</v>
      </c>
      <c r="I18" s="58">
        <v>6</v>
      </c>
      <c r="J18" s="149"/>
    </row>
    <row r="19" spans="1:10" ht="12.75">
      <c r="A19" s="56" t="s">
        <v>36</v>
      </c>
      <c r="B19" s="57">
        <f t="shared" si="0"/>
        <v>210</v>
      </c>
      <c r="C19" s="57">
        <f t="shared" si="1"/>
        <v>132</v>
      </c>
      <c r="D19" s="57">
        <v>175</v>
      </c>
      <c r="E19" s="57">
        <v>110</v>
      </c>
      <c r="F19" s="57">
        <v>34</v>
      </c>
      <c r="G19" s="57">
        <v>21</v>
      </c>
      <c r="H19" s="57">
        <v>1</v>
      </c>
      <c r="I19" s="58">
        <v>1</v>
      </c>
      <c r="J19" s="149"/>
    </row>
    <row r="20" spans="1:10" ht="12.75">
      <c r="A20" s="56" t="s">
        <v>37</v>
      </c>
      <c r="B20" s="57">
        <f t="shared" si="0"/>
        <v>228</v>
      </c>
      <c r="C20" s="57">
        <f t="shared" si="1"/>
        <v>204</v>
      </c>
      <c r="D20" s="57">
        <v>163</v>
      </c>
      <c r="E20" s="57">
        <v>53</v>
      </c>
      <c r="F20" s="57">
        <v>48</v>
      </c>
      <c r="G20" s="57">
        <v>112</v>
      </c>
      <c r="H20" s="57">
        <v>17</v>
      </c>
      <c r="I20" s="58">
        <v>39</v>
      </c>
      <c r="J20" s="149"/>
    </row>
    <row r="21" spans="1:10" ht="12.75">
      <c r="A21" s="56" t="s">
        <v>38</v>
      </c>
      <c r="B21" s="57">
        <f t="shared" si="0"/>
        <v>1329</v>
      </c>
      <c r="C21" s="57">
        <f t="shared" si="1"/>
        <v>1253</v>
      </c>
      <c r="D21" s="57">
        <v>902</v>
      </c>
      <c r="E21" s="57">
        <v>909</v>
      </c>
      <c r="F21" s="57">
        <v>386</v>
      </c>
      <c r="G21" s="57">
        <v>306</v>
      </c>
      <c r="H21" s="57">
        <v>41</v>
      </c>
      <c r="I21" s="58">
        <v>38</v>
      </c>
      <c r="J21" s="149"/>
    </row>
    <row r="22" spans="1:10" ht="12.75">
      <c r="A22" s="56" t="s">
        <v>39</v>
      </c>
      <c r="B22" s="57">
        <f t="shared" si="0"/>
        <v>2412</v>
      </c>
      <c r="C22" s="57">
        <f t="shared" si="1"/>
        <v>4328</v>
      </c>
      <c r="D22" s="57">
        <v>1880</v>
      </c>
      <c r="E22" s="57">
        <v>3993</v>
      </c>
      <c r="F22" s="57">
        <v>525</v>
      </c>
      <c r="G22" s="57">
        <v>297</v>
      </c>
      <c r="H22" s="57">
        <v>7</v>
      </c>
      <c r="I22" s="58">
        <v>38</v>
      </c>
      <c r="J22" s="149"/>
    </row>
    <row r="23" spans="1:10" ht="12.75">
      <c r="A23" s="56" t="s">
        <v>40</v>
      </c>
      <c r="B23" s="57">
        <f t="shared" si="0"/>
        <v>211</v>
      </c>
      <c r="C23" s="57">
        <f t="shared" si="1"/>
        <v>120</v>
      </c>
      <c r="D23" s="57">
        <v>97</v>
      </c>
      <c r="E23" s="57">
        <v>67</v>
      </c>
      <c r="F23" s="57">
        <v>94</v>
      </c>
      <c r="G23" s="57">
        <v>44</v>
      </c>
      <c r="H23" s="57">
        <v>20</v>
      </c>
      <c r="I23" s="58">
        <v>9</v>
      </c>
      <c r="J23" s="149"/>
    </row>
    <row r="24" spans="1:10" ht="12.75">
      <c r="A24" s="56" t="s">
        <v>41</v>
      </c>
      <c r="B24" s="57">
        <f t="shared" si="0"/>
        <v>23197</v>
      </c>
      <c r="C24" s="57">
        <f t="shared" si="1"/>
        <v>29077</v>
      </c>
      <c r="D24" s="57">
        <v>20438</v>
      </c>
      <c r="E24" s="57">
        <v>27096</v>
      </c>
      <c r="F24" s="57">
        <v>2689</v>
      </c>
      <c r="G24" s="57">
        <v>1750</v>
      </c>
      <c r="H24" s="57">
        <v>70</v>
      </c>
      <c r="I24" s="58">
        <v>231</v>
      </c>
      <c r="J24" s="149"/>
    </row>
    <row r="25" spans="1:10" ht="12.75">
      <c r="A25" s="56" t="s">
        <v>42</v>
      </c>
      <c r="B25" s="57">
        <f t="shared" si="0"/>
        <v>3437</v>
      </c>
      <c r="C25" s="57">
        <f t="shared" si="1"/>
        <v>7006</v>
      </c>
      <c r="D25" s="57">
        <v>1595</v>
      </c>
      <c r="E25" s="57">
        <v>3397</v>
      </c>
      <c r="F25" s="57">
        <v>368</v>
      </c>
      <c r="G25" s="57">
        <v>362</v>
      </c>
      <c r="H25" s="57">
        <v>1474</v>
      </c>
      <c r="I25" s="58">
        <v>3247</v>
      </c>
      <c r="J25" s="149"/>
    </row>
    <row r="26" spans="1:9" s="20" customFormat="1" ht="12.75">
      <c r="A26" s="32" t="s">
        <v>227</v>
      </c>
      <c r="B26" s="226" t="s">
        <v>142</v>
      </c>
      <c r="C26" s="226" t="s">
        <v>142</v>
      </c>
      <c r="D26" s="226" t="s">
        <v>142</v>
      </c>
      <c r="E26" s="239" t="s">
        <v>142</v>
      </c>
      <c r="F26" s="240" t="s">
        <v>142</v>
      </c>
      <c r="G26" s="238" t="s">
        <v>142</v>
      </c>
      <c r="H26" s="245" t="s">
        <v>142</v>
      </c>
      <c r="I26" s="241" t="s">
        <v>142</v>
      </c>
    </row>
    <row r="27" spans="1:9" s="20" customFormat="1" ht="12.75">
      <c r="A27" s="32" t="s">
        <v>228</v>
      </c>
      <c r="B27" s="226" t="s">
        <v>142</v>
      </c>
      <c r="C27" s="226" t="s">
        <v>142</v>
      </c>
      <c r="D27" s="226" t="s">
        <v>142</v>
      </c>
      <c r="E27" s="239" t="s">
        <v>142</v>
      </c>
      <c r="F27" s="236" t="s">
        <v>142</v>
      </c>
      <c r="G27" s="238" t="s">
        <v>142</v>
      </c>
      <c r="H27" s="246" t="s">
        <v>142</v>
      </c>
      <c r="I27" s="241" t="s">
        <v>142</v>
      </c>
    </row>
    <row r="28" spans="1:10" ht="12.75">
      <c r="A28" s="56"/>
      <c r="B28" s="57"/>
      <c r="C28" s="57"/>
      <c r="D28" s="57"/>
      <c r="E28" s="57"/>
      <c r="F28" s="57"/>
      <c r="G28" s="57"/>
      <c r="H28" s="56"/>
      <c r="I28" s="60"/>
      <c r="J28" s="149"/>
    </row>
    <row r="29" spans="1:10" ht="13.5" thickBot="1">
      <c r="A29" s="142" t="s">
        <v>200</v>
      </c>
      <c r="B29" s="143">
        <f>SUM(B9:B28)</f>
        <v>37331</v>
      </c>
      <c r="C29" s="143">
        <f aca="true" t="shared" si="2" ref="C29:I29">SUM(C9:C28)</f>
        <v>43963</v>
      </c>
      <c r="D29" s="143">
        <f t="shared" si="2"/>
        <v>29898</v>
      </c>
      <c r="E29" s="143">
        <f t="shared" si="2"/>
        <v>36830</v>
      </c>
      <c r="F29" s="143">
        <f t="shared" si="2"/>
        <v>5702</v>
      </c>
      <c r="G29" s="143">
        <f t="shared" si="2"/>
        <v>3483</v>
      </c>
      <c r="H29" s="143">
        <f t="shared" si="2"/>
        <v>1731</v>
      </c>
      <c r="I29" s="144">
        <f t="shared" si="2"/>
        <v>3650</v>
      </c>
      <c r="J29" s="149"/>
    </row>
    <row r="30" spans="1:9" ht="12.75">
      <c r="A30" s="17" t="s">
        <v>230</v>
      </c>
      <c r="B30" s="16"/>
      <c r="C30" s="16"/>
      <c r="D30" s="16"/>
      <c r="E30" s="16"/>
      <c r="F30" s="16"/>
      <c r="G30" s="16"/>
      <c r="H30" s="15"/>
      <c r="I30" s="15"/>
    </row>
  </sheetData>
  <mergeCells count="8">
    <mergeCell ref="A1:I1"/>
    <mergeCell ref="D6:E6"/>
    <mergeCell ref="B6:C6"/>
    <mergeCell ref="F6:G6"/>
    <mergeCell ref="A3:I3"/>
    <mergeCell ref="A4:I4"/>
    <mergeCell ref="A5:I5"/>
    <mergeCell ref="H6:I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63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6" width="15.7109375" style="0" customWidth="1"/>
    <col min="7" max="7" width="20.57421875" style="0" customWidth="1"/>
    <col min="8" max="8" width="17.140625" style="0" customWidth="1"/>
    <col min="9" max="9" width="12.7109375" style="0" customWidth="1"/>
  </cols>
  <sheetData>
    <row r="1" spans="1:9" ht="18">
      <c r="A1" s="426" t="s">
        <v>139</v>
      </c>
      <c r="B1" s="426"/>
      <c r="C1" s="426"/>
      <c r="D1" s="426"/>
      <c r="E1" s="426"/>
      <c r="F1" s="426"/>
      <c r="G1" s="426"/>
      <c r="H1" s="121"/>
      <c r="I1" s="121"/>
    </row>
    <row r="2" spans="1:7" ht="12.75">
      <c r="A2" s="15"/>
      <c r="B2" s="16"/>
      <c r="C2" s="16"/>
      <c r="D2" s="16"/>
      <c r="E2" s="16"/>
      <c r="F2" s="16"/>
      <c r="G2" s="16"/>
    </row>
    <row r="3" spans="1:7" ht="15">
      <c r="A3" s="441" t="s">
        <v>210</v>
      </c>
      <c r="B3" s="441"/>
      <c r="C3" s="441"/>
      <c r="D3" s="441"/>
      <c r="E3" s="441"/>
      <c r="F3" s="441"/>
      <c r="G3" s="441"/>
    </row>
    <row r="4" spans="1:7" ht="15">
      <c r="A4" s="441" t="s">
        <v>211</v>
      </c>
      <c r="B4" s="441"/>
      <c r="C4" s="441"/>
      <c r="D4" s="441"/>
      <c r="E4" s="441"/>
      <c r="F4" s="441"/>
      <c r="G4" s="441"/>
    </row>
    <row r="5" spans="1:7" ht="12.75">
      <c r="A5" s="15"/>
      <c r="B5" s="16"/>
      <c r="C5" s="16"/>
      <c r="D5" s="16"/>
      <c r="E5" s="16"/>
      <c r="F5" s="16"/>
      <c r="G5" s="16"/>
    </row>
    <row r="6" spans="1:7" ht="12.75">
      <c r="A6" s="51"/>
      <c r="B6" s="444" t="s">
        <v>47</v>
      </c>
      <c r="C6" s="446"/>
      <c r="D6" s="444" t="s">
        <v>48</v>
      </c>
      <c r="E6" s="445"/>
      <c r="F6" s="445"/>
      <c r="G6" s="445"/>
    </row>
    <row r="7" spans="1:7" ht="12.75">
      <c r="A7" s="53" t="s">
        <v>22</v>
      </c>
      <c r="B7" s="61" t="s">
        <v>155</v>
      </c>
      <c r="C7" s="61" t="s">
        <v>20</v>
      </c>
      <c r="D7" s="440" t="s">
        <v>49</v>
      </c>
      <c r="E7" s="439"/>
      <c r="F7" s="440" t="s">
        <v>50</v>
      </c>
      <c r="G7" s="438"/>
    </row>
    <row r="8" spans="1:7" ht="12.75">
      <c r="A8" s="56"/>
      <c r="B8" s="196" t="s">
        <v>78</v>
      </c>
      <c r="C8" s="33" t="s">
        <v>158</v>
      </c>
      <c r="D8" s="65" t="s">
        <v>201</v>
      </c>
      <c r="E8" s="45" t="s">
        <v>159</v>
      </c>
      <c r="F8" s="65" t="s">
        <v>201</v>
      </c>
      <c r="G8" s="197" t="s">
        <v>159</v>
      </c>
    </row>
    <row r="9" spans="1:7" ht="13.5" thickBot="1">
      <c r="A9" s="139"/>
      <c r="B9" s="140"/>
      <c r="C9" s="127"/>
      <c r="D9" s="134" t="s">
        <v>78</v>
      </c>
      <c r="E9" s="134"/>
      <c r="F9" s="134" t="s">
        <v>78</v>
      </c>
      <c r="G9" s="151"/>
    </row>
    <row r="10" spans="1:7" ht="12.75">
      <c r="A10" s="56" t="s">
        <v>26</v>
      </c>
      <c r="B10" s="57">
        <v>201570</v>
      </c>
      <c r="C10" s="57">
        <v>236630</v>
      </c>
      <c r="D10">
        <v>162757</v>
      </c>
      <c r="E10" s="57">
        <v>208321</v>
      </c>
      <c r="F10">
        <v>58629</v>
      </c>
      <c r="G10" s="58">
        <v>11162</v>
      </c>
    </row>
    <row r="11" spans="1:7" ht="12.75">
      <c r="A11" s="56" t="s">
        <v>27</v>
      </c>
      <c r="B11" s="57">
        <v>27469</v>
      </c>
      <c r="C11" s="57">
        <v>26387</v>
      </c>
      <c r="D11" s="57">
        <v>22262</v>
      </c>
      <c r="E11" s="57">
        <v>21089</v>
      </c>
      <c r="F11" s="57">
        <v>11747</v>
      </c>
      <c r="G11" s="58">
        <v>5198</v>
      </c>
    </row>
    <row r="12" spans="1:7" ht="12.75">
      <c r="A12" s="56" t="s">
        <v>28</v>
      </c>
      <c r="B12" s="57">
        <v>5217</v>
      </c>
      <c r="C12" s="57">
        <v>5669</v>
      </c>
      <c r="D12" s="57">
        <v>4277</v>
      </c>
      <c r="E12" s="57">
        <v>5491</v>
      </c>
      <c r="F12" s="57">
        <v>1544</v>
      </c>
      <c r="G12" s="58">
        <v>159</v>
      </c>
    </row>
    <row r="13" spans="1:7" ht="12.75">
      <c r="A13" s="56" t="s">
        <v>29</v>
      </c>
      <c r="B13" s="57">
        <v>25057</v>
      </c>
      <c r="C13" s="57">
        <v>74787</v>
      </c>
      <c r="D13" s="57">
        <v>12996</v>
      </c>
      <c r="E13" s="57">
        <v>61700</v>
      </c>
      <c r="F13" s="57">
        <v>19180</v>
      </c>
      <c r="G13" s="58">
        <v>2730</v>
      </c>
    </row>
    <row r="14" spans="1:7" ht="12.75">
      <c r="A14" s="56" t="s">
        <v>30</v>
      </c>
      <c r="B14" s="57">
        <v>14468</v>
      </c>
      <c r="C14" s="57">
        <v>259049</v>
      </c>
      <c r="D14" s="57">
        <v>10600</v>
      </c>
      <c r="E14" s="57">
        <v>241022</v>
      </c>
      <c r="F14" s="57">
        <v>3466</v>
      </c>
      <c r="G14" s="58">
        <v>3897</v>
      </c>
    </row>
    <row r="15" spans="1:7" ht="12.75">
      <c r="A15" s="56" t="s">
        <v>31</v>
      </c>
      <c r="B15" s="57">
        <v>13344</v>
      </c>
      <c r="C15" s="57">
        <v>107679</v>
      </c>
      <c r="D15" s="57">
        <v>6548</v>
      </c>
      <c r="E15" s="57">
        <v>67368</v>
      </c>
      <c r="F15" s="57">
        <v>4701</v>
      </c>
      <c r="G15" s="58">
        <v>7242</v>
      </c>
    </row>
    <row r="16" spans="1:7" ht="12.75">
      <c r="A16" s="56" t="s">
        <v>32</v>
      </c>
      <c r="B16" s="57">
        <v>54474</v>
      </c>
      <c r="C16" s="57">
        <v>1348227</v>
      </c>
      <c r="D16" s="57">
        <v>34709</v>
      </c>
      <c r="E16" s="57">
        <v>1199781</v>
      </c>
      <c r="F16" s="57">
        <v>21861</v>
      </c>
      <c r="G16" s="58">
        <v>73032</v>
      </c>
    </row>
    <row r="17" spans="1:7" ht="12.75">
      <c r="A17" s="56" t="s">
        <v>33</v>
      </c>
      <c r="B17" s="57">
        <v>51705</v>
      </c>
      <c r="C17" s="57">
        <v>588400</v>
      </c>
      <c r="D17" s="57">
        <v>22750</v>
      </c>
      <c r="E17" s="57">
        <v>373881</v>
      </c>
      <c r="F17" s="57">
        <v>20993</v>
      </c>
      <c r="G17" s="58">
        <v>62712</v>
      </c>
    </row>
    <row r="18" spans="1:7" ht="12.75">
      <c r="A18" s="56" t="s">
        <v>34</v>
      </c>
      <c r="B18" s="57">
        <v>17635</v>
      </c>
      <c r="C18" s="57">
        <v>181994</v>
      </c>
      <c r="D18" s="57">
        <v>11546</v>
      </c>
      <c r="E18" s="57">
        <v>122493</v>
      </c>
      <c r="F18" s="57">
        <v>12498</v>
      </c>
      <c r="G18" s="58">
        <v>36583</v>
      </c>
    </row>
    <row r="19" spans="1:7" ht="12.75">
      <c r="A19" s="56" t="s">
        <v>35</v>
      </c>
      <c r="B19" s="57">
        <v>122599</v>
      </c>
      <c r="C19" s="57">
        <v>3161025</v>
      </c>
      <c r="D19" s="57">
        <v>85449</v>
      </c>
      <c r="E19" s="57">
        <v>3092852</v>
      </c>
      <c r="F19" s="57">
        <v>15252</v>
      </c>
      <c r="G19" s="58">
        <v>8016</v>
      </c>
    </row>
    <row r="20" spans="1:7" ht="12.75">
      <c r="A20" s="56" t="s">
        <v>36</v>
      </c>
      <c r="B20" s="57">
        <v>11331</v>
      </c>
      <c r="C20" s="57">
        <v>191761</v>
      </c>
      <c r="D20" s="57">
        <v>4520</v>
      </c>
      <c r="E20" s="57">
        <v>155548</v>
      </c>
      <c r="F20" s="57">
        <v>520</v>
      </c>
      <c r="G20" s="58">
        <v>416</v>
      </c>
    </row>
    <row r="21" spans="1:7" ht="12.75">
      <c r="A21" s="56" t="s">
        <v>37</v>
      </c>
      <c r="B21" s="57">
        <v>168885</v>
      </c>
      <c r="C21" s="57">
        <v>3298369</v>
      </c>
      <c r="D21" s="57">
        <v>78344</v>
      </c>
      <c r="E21" s="57">
        <v>2546747</v>
      </c>
      <c r="F21" s="57">
        <v>20059</v>
      </c>
      <c r="G21" s="58">
        <v>49752</v>
      </c>
    </row>
    <row r="22" spans="1:7" ht="12.75">
      <c r="A22" s="56" t="s">
        <v>38</v>
      </c>
      <c r="B22" s="57">
        <v>97482</v>
      </c>
      <c r="C22" s="57">
        <v>338002</v>
      </c>
      <c r="D22" s="57">
        <v>21896</v>
      </c>
      <c r="E22" s="57">
        <v>70522</v>
      </c>
      <c r="F22" s="57">
        <v>53345</v>
      </c>
      <c r="G22" s="58">
        <v>101356</v>
      </c>
    </row>
    <row r="23" spans="1:7" ht="12.75">
      <c r="A23" s="56" t="s">
        <v>39</v>
      </c>
      <c r="B23" s="57">
        <v>24159</v>
      </c>
      <c r="C23" s="57">
        <v>270942</v>
      </c>
      <c r="D23" s="57">
        <v>10720</v>
      </c>
      <c r="E23" s="57">
        <v>141350</v>
      </c>
      <c r="F23" s="57">
        <v>13780</v>
      </c>
      <c r="G23" s="58">
        <v>88394</v>
      </c>
    </row>
    <row r="24" spans="1:7" ht="12.75">
      <c r="A24" s="56" t="s">
        <v>40</v>
      </c>
      <c r="B24" s="57">
        <v>84593</v>
      </c>
      <c r="C24" s="57">
        <v>930473</v>
      </c>
      <c r="D24" s="57">
        <v>23593</v>
      </c>
      <c r="E24" s="57">
        <v>619974</v>
      </c>
      <c r="F24" s="57">
        <v>15390</v>
      </c>
      <c r="G24" s="58">
        <v>23728</v>
      </c>
    </row>
    <row r="25" spans="1:7" ht="12.75">
      <c r="A25" s="56" t="s">
        <v>41</v>
      </c>
      <c r="B25" s="57">
        <v>260043</v>
      </c>
      <c r="C25" s="57">
        <v>2719509</v>
      </c>
      <c r="D25" s="57">
        <v>70622</v>
      </c>
      <c r="E25" s="57">
        <v>1421429</v>
      </c>
      <c r="F25" s="57">
        <v>39488</v>
      </c>
      <c r="G25" s="58">
        <v>146816</v>
      </c>
    </row>
    <row r="26" spans="1:7" ht="12.75">
      <c r="A26" s="56" t="s">
        <v>42</v>
      </c>
      <c r="B26" s="57">
        <v>15748</v>
      </c>
      <c r="C26" s="57">
        <v>19795</v>
      </c>
      <c r="D26" s="57">
        <v>10186</v>
      </c>
      <c r="E26" s="57">
        <v>11488</v>
      </c>
      <c r="F26" s="57">
        <v>3882</v>
      </c>
      <c r="G26" s="58">
        <v>1920</v>
      </c>
    </row>
    <row r="27" spans="1:7" ht="12.75">
      <c r="A27" s="32" t="s">
        <v>227</v>
      </c>
      <c r="B27" s="57">
        <v>3</v>
      </c>
      <c r="C27" s="57">
        <v>2</v>
      </c>
      <c r="D27" s="57">
        <v>2</v>
      </c>
      <c r="E27" s="57">
        <v>1</v>
      </c>
      <c r="F27" s="57">
        <v>2</v>
      </c>
      <c r="G27" s="58">
        <v>1</v>
      </c>
    </row>
    <row r="28" spans="1:7" ht="12.75">
      <c r="A28" s="32" t="s">
        <v>228</v>
      </c>
      <c r="B28" s="57">
        <v>6</v>
      </c>
      <c r="C28" s="57">
        <v>21</v>
      </c>
      <c r="D28" s="57">
        <v>2</v>
      </c>
      <c r="E28" s="57">
        <v>11</v>
      </c>
      <c r="F28" s="57">
        <v>1</v>
      </c>
      <c r="G28" s="249" t="s">
        <v>142</v>
      </c>
    </row>
    <row r="29" spans="1:7" ht="12.75">
      <c r="A29" s="56"/>
      <c r="B29" s="59"/>
      <c r="C29" s="59"/>
      <c r="D29" s="59"/>
      <c r="E29" s="59"/>
      <c r="F29" s="59"/>
      <c r="G29" s="60"/>
    </row>
    <row r="30" spans="1:7" ht="13.5" thickBot="1">
      <c r="A30" s="142" t="s">
        <v>200</v>
      </c>
      <c r="B30" s="143">
        <f aca="true" t="shared" si="0" ref="B30:G30">SUM(B10:B29)</f>
        <v>1195788</v>
      </c>
      <c r="C30" s="143">
        <f t="shared" si="0"/>
        <v>13758721</v>
      </c>
      <c r="D30" s="143">
        <f t="shared" si="0"/>
        <v>593779</v>
      </c>
      <c r="E30" s="143">
        <f t="shared" si="0"/>
        <v>10361068</v>
      </c>
      <c r="F30" s="143">
        <f t="shared" si="0"/>
        <v>316338</v>
      </c>
      <c r="G30" s="144">
        <f t="shared" si="0"/>
        <v>623114</v>
      </c>
    </row>
    <row r="31" spans="1:7" ht="12.75">
      <c r="A31" s="15"/>
      <c r="B31" s="15"/>
      <c r="C31" s="15"/>
      <c r="D31" s="15"/>
      <c r="E31" s="15"/>
      <c r="F31" s="15"/>
      <c r="G31" s="15"/>
    </row>
    <row r="32" spans="1:7" ht="12.75">
      <c r="A32" s="1"/>
      <c r="B32" s="1"/>
      <c r="C32" s="15"/>
      <c r="D32" s="15"/>
      <c r="E32" s="15"/>
      <c r="F32" s="15"/>
      <c r="G32" s="15"/>
    </row>
    <row r="33" spans="1:7" ht="12.75">
      <c r="A33" s="18"/>
      <c r="B33" s="18"/>
      <c r="C33" s="15"/>
      <c r="D33" s="15"/>
      <c r="E33" s="15"/>
      <c r="F33" s="15"/>
      <c r="G33" s="15"/>
    </row>
    <row r="34" spans="1:7" ht="15">
      <c r="A34" s="441"/>
      <c r="B34" s="441"/>
      <c r="C34" s="441"/>
      <c r="D34" s="441"/>
      <c r="E34" s="441"/>
      <c r="F34" s="441"/>
      <c r="G34" s="441"/>
    </row>
    <row r="35" spans="1:7" ht="12.75">
      <c r="A35" s="15"/>
      <c r="B35" s="15"/>
      <c r="C35" s="15"/>
      <c r="D35" s="15"/>
      <c r="E35" s="15"/>
      <c r="F35" s="15"/>
      <c r="G35" s="15"/>
    </row>
    <row r="36" spans="1:7" ht="12.75">
      <c r="A36" s="51"/>
      <c r="B36" s="444" t="s">
        <v>48</v>
      </c>
      <c r="C36" s="445"/>
      <c r="D36" s="445"/>
      <c r="E36" s="446"/>
      <c r="F36" s="444" t="s">
        <v>51</v>
      </c>
      <c r="G36" s="445"/>
    </row>
    <row r="37" spans="1:7" ht="12.75">
      <c r="A37" s="53" t="s">
        <v>22</v>
      </c>
      <c r="B37" s="447" t="s">
        <v>52</v>
      </c>
      <c r="C37" s="447"/>
      <c r="D37" s="447" t="s">
        <v>162</v>
      </c>
      <c r="E37" s="447"/>
      <c r="F37" s="77"/>
      <c r="G37" s="52"/>
    </row>
    <row r="38" spans="1:7" ht="12.75">
      <c r="A38" s="53"/>
      <c r="B38" s="196" t="s">
        <v>201</v>
      </c>
      <c r="C38" s="196"/>
      <c r="D38" s="196" t="s">
        <v>201</v>
      </c>
      <c r="E38" s="196"/>
      <c r="F38" s="198" t="s">
        <v>201</v>
      </c>
      <c r="G38" s="198" t="s">
        <v>159</v>
      </c>
    </row>
    <row r="39" spans="1:7" ht="13.5" thickBot="1">
      <c r="A39" s="139"/>
      <c r="B39" s="134" t="s">
        <v>78</v>
      </c>
      <c r="C39" s="134" t="s">
        <v>159</v>
      </c>
      <c r="D39" s="134" t="s">
        <v>78</v>
      </c>
      <c r="E39" s="134" t="s">
        <v>159</v>
      </c>
      <c r="F39" s="134" t="s">
        <v>78</v>
      </c>
      <c r="G39" s="151"/>
    </row>
    <row r="40" spans="1:7" ht="12.75">
      <c r="A40" s="56" t="s">
        <v>26</v>
      </c>
      <c r="B40" s="57">
        <v>229</v>
      </c>
      <c r="C40" s="57">
        <v>21</v>
      </c>
      <c r="D40" s="57">
        <v>78902</v>
      </c>
      <c r="E40" s="57">
        <v>17097</v>
      </c>
      <c r="F40" s="57">
        <v>600</v>
      </c>
      <c r="G40" s="58">
        <v>30</v>
      </c>
    </row>
    <row r="41" spans="1:7" ht="12.75">
      <c r="A41" s="56" t="s">
        <v>27</v>
      </c>
      <c r="B41" s="250" t="s">
        <v>142</v>
      </c>
      <c r="C41" s="250" t="s">
        <v>142</v>
      </c>
      <c r="D41" s="57">
        <v>207</v>
      </c>
      <c r="E41" s="57">
        <v>90</v>
      </c>
      <c r="F41" s="57">
        <v>3</v>
      </c>
      <c r="G41" s="58">
        <v>10</v>
      </c>
    </row>
    <row r="42" spans="1:7" ht="12.75">
      <c r="A42" s="56" t="s">
        <v>28</v>
      </c>
      <c r="B42" s="57">
        <v>1</v>
      </c>
      <c r="C42" s="250" t="s">
        <v>142</v>
      </c>
      <c r="D42" s="57">
        <v>72</v>
      </c>
      <c r="E42" s="57">
        <v>19</v>
      </c>
      <c r="F42" s="250" t="s">
        <v>142</v>
      </c>
      <c r="G42" s="249" t="s">
        <v>142</v>
      </c>
    </row>
    <row r="43" spans="1:7" ht="12.75">
      <c r="A43" s="56" t="s">
        <v>29</v>
      </c>
      <c r="B43" s="57">
        <v>381</v>
      </c>
      <c r="C43" s="57">
        <v>182</v>
      </c>
      <c r="D43" s="57">
        <v>2723</v>
      </c>
      <c r="E43" s="57">
        <v>10168</v>
      </c>
      <c r="F43" s="57">
        <v>10</v>
      </c>
      <c r="G43" s="58">
        <v>8</v>
      </c>
    </row>
    <row r="44" spans="1:7" ht="12.75">
      <c r="A44" s="56" t="s">
        <v>30</v>
      </c>
      <c r="B44" s="57">
        <v>3773</v>
      </c>
      <c r="C44" s="57">
        <v>2362</v>
      </c>
      <c r="D44" s="57">
        <v>3994</v>
      </c>
      <c r="E44" s="57">
        <v>11762</v>
      </c>
      <c r="F44" s="57">
        <v>6</v>
      </c>
      <c r="G44" s="58">
        <v>7</v>
      </c>
    </row>
    <row r="45" spans="1:7" ht="12.75">
      <c r="A45" s="56" t="s">
        <v>31</v>
      </c>
      <c r="B45" s="57">
        <v>2966</v>
      </c>
      <c r="C45" s="57">
        <v>1598</v>
      </c>
      <c r="D45" s="57">
        <v>8840</v>
      </c>
      <c r="E45" s="57">
        <v>31471</v>
      </c>
      <c r="F45" s="57">
        <v>1</v>
      </c>
      <c r="G45" s="249" t="s">
        <v>142</v>
      </c>
    </row>
    <row r="46" spans="1:7" ht="12.75">
      <c r="A46" s="56" t="s">
        <v>32</v>
      </c>
      <c r="B46" s="57">
        <v>18068</v>
      </c>
      <c r="C46" s="57">
        <v>41989</v>
      </c>
      <c r="D46" s="57">
        <v>12408</v>
      </c>
      <c r="E46" s="59">
        <v>33345</v>
      </c>
      <c r="F46" s="57">
        <v>46</v>
      </c>
      <c r="G46" s="58">
        <v>80</v>
      </c>
    </row>
    <row r="47" spans="1:7" ht="12.75">
      <c r="A47" s="56" t="s">
        <v>33</v>
      </c>
      <c r="B47" s="57">
        <v>28230</v>
      </c>
      <c r="C47" s="57">
        <v>88866</v>
      </c>
      <c r="D47" s="57">
        <v>10605</v>
      </c>
      <c r="E47" s="57">
        <v>56451</v>
      </c>
      <c r="F47" s="57">
        <v>5325</v>
      </c>
      <c r="G47" s="58">
        <v>6491</v>
      </c>
    </row>
    <row r="48" spans="1:7" ht="12.75">
      <c r="A48" s="56" t="s">
        <v>34</v>
      </c>
      <c r="B48" s="57">
        <v>2417</v>
      </c>
      <c r="C48" s="57">
        <v>8255</v>
      </c>
      <c r="D48" s="57">
        <v>1732</v>
      </c>
      <c r="E48" s="57">
        <v>925</v>
      </c>
      <c r="F48" s="57">
        <v>7860</v>
      </c>
      <c r="G48" s="58">
        <v>13738</v>
      </c>
    </row>
    <row r="49" spans="1:7" ht="12.75">
      <c r="A49" s="56" t="s">
        <v>35</v>
      </c>
      <c r="B49" s="57">
        <v>9570</v>
      </c>
      <c r="C49" s="57">
        <v>6423</v>
      </c>
      <c r="D49" s="57">
        <v>44766</v>
      </c>
      <c r="E49" s="57">
        <v>53619</v>
      </c>
      <c r="F49" s="57">
        <v>26</v>
      </c>
      <c r="G49" s="58">
        <v>114</v>
      </c>
    </row>
    <row r="50" spans="1:7" ht="12.75">
      <c r="A50" s="56" t="s">
        <v>36</v>
      </c>
      <c r="B50" s="57">
        <v>7970</v>
      </c>
      <c r="C50" s="57">
        <v>22719</v>
      </c>
      <c r="D50" s="57">
        <v>5368</v>
      </c>
      <c r="E50" s="57">
        <v>13073</v>
      </c>
      <c r="F50" s="57">
        <v>1</v>
      </c>
      <c r="G50" s="58">
        <v>5</v>
      </c>
    </row>
    <row r="51" spans="1:7" ht="12.75">
      <c r="A51" s="56" t="s">
        <v>37</v>
      </c>
      <c r="B51" s="57">
        <v>107507</v>
      </c>
      <c r="C51" s="57">
        <v>292035</v>
      </c>
      <c r="D51" s="57">
        <v>76321</v>
      </c>
      <c r="E51" s="57">
        <v>409555</v>
      </c>
      <c r="F51" s="57">
        <v>118</v>
      </c>
      <c r="G51" s="58">
        <v>279</v>
      </c>
    </row>
    <row r="52" spans="1:7" ht="12.75">
      <c r="A52" s="56" t="s">
        <v>38</v>
      </c>
      <c r="B52" s="57">
        <v>63614</v>
      </c>
      <c r="C52" s="57">
        <v>80673</v>
      </c>
      <c r="D52" s="57">
        <v>18425</v>
      </c>
      <c r="E52" s="57">
        <v>62193</v>
      </c>
      <c r="F52" s="57">
        <v>19243</v>
      </c>
      <c r="G52" s="58">
        <v>23257</v>
      </c>
    </row>
    <row r="53" spans="1:7" ht="12.75">
      <c r="A53" s="56" t="s">
        <v>39</v>
      </c>
      <c r="B53" s="57">
        <v>8020</v>
      </c>
      <c r="C53" s="57">
        <v>14523</v>
      </c>
      <c r="D53" s="57">
        <v>3478</v>
      </c>
      <c r="E53" s="57">
        <v>25384</v>
      </c>
      <c r="F53" s="57">
        <v>190</v>
      </c>
      <c r="G53" s="58">
        <v>1291</v>
      </c>
    </row>
    <row r="54" spans="1:7" ht="12.75">
      <c r="A54" s="56" t="s">
        <v>40</v>
      </c>
      <c r="B54" s="57">
        <v>69173</v>
      </c>
      <c r="C54" s="57">
        <v>212370</v>
      </c>
      <c r="D54" s="57">
        <v>15193</v>
      </c>
      <c r="E54" s="57">
        <v>74332</v>
      </c>
      <c r="F54" s="57">
        <v>15</v>
      </c>
      <c r="G54" s="58">
        <v>69</v>
      </c>
    </row>
    <row r="55" spans="1:7" ht="12.75">
      <c r="A55" s="56" t="s">
        <v>41</v>
      </c>
      <c r="B55" s="57">
        <v>203563</v>
      </c>
      <c r="C55" s="57">
        <v>1110039</v>
      </c>
      <c r="D55" s="57">
        <v>19937</v>
      </c>
      <c r="E55" s="57">
        <v>38061</v>
      </c>
      <c r="F55" s="57">
        <v>1201</v>
      </c>
      <c r="G55" s="58">
        <v>3164</v>
      </c>
    </row>
    <row r="56" spans="1:11" ht="12.75">
      <c r="A56" s="56" t="s">
        <v>42</v>
      </c>
      <c r="B56" s="57">
        <v>66</v>
      </c>
      <c r="C56" s="57">
        <v>6</v>
      </c>
      <c r="D56" s="57">
        <v>7972</v>
      </c>
      <c r="E56" s="57">
        <v>6307</v>
      </c>
      <c r="F56" s="57">
        <v>149</v>
      </c>
      <c r="G56" s="58">
        <v>73</v>
      </c>
      <c r="H56" s="247"/>
      <c r="I56" s="247"/>
      <c r="J56" s="247"/>
      <c r="K56" s="247"/>
    </row>
    <row r="57" spans="1:11" s="20" customFormat="1" ht="12.75">
      <c r="A57" s="32" t="s">
        <v>227</v>
      </c>
      <c r="B57" s="226" t="s">
        <v>142</v>
      </c>
      <c r="C57" s="226" t="s">
        <v>142</v>
      </c>
      <c r="D57" s="226">
        <v>1</v>
      </c>
      <c r="E57" s="239" t="s">
        <v>142</v>
      </c>
      <c r="F57" s="240" t="s">
        <v>142</v>
      </c>
      <c r="G57" s="243" t="s">
        <v>142</v>
      </c>
      <c r="H57" s="241"/>
      <c r="I57" s="241"/>
      <c r="J57" s="248"/>
      <c r="K57" s="248"/>
    </row>
    <row r="58" spans="1:11" s="20" customFormat="1" ht="12.75">
      <c r="A58" s="32" t="s">
        <v>228</v>
      </c>
      <c r="B58" s="226">
        <v>5</v>
      </c>
      <c r="C58" s="226">
        <v>11</v>
      </c>
      <c r="D58" s="226" t="s">
        <v>142</v>
      </c>
      <c r="E58" s="239" t="s">
        <v>142</v>
      </c>
      <c r="F58" s="236" t="s">
        <v>142</v>
      </c>
      <c r="G58" s="243" t="s">
        <v>142</v>
      </c>
      <c r="H58" s="244"/>
      <c r="I58" s="241"/>
      <c r="J58" s="248"/>
      <c r="K58" s="248"/>
    </row>
    <row r="59" spans="1:11" ht="12.75">
      <c r="A59" s="56"/>
      <c r="B59" s="59"/>
      <c r="C59" s="59"/>
      <c r="D59" s="59"/>
      <c r="E59" s="59"/>
      <c r="F59" s="59"/>
      <c r="G59" s="60"/>
      <c r="H59" s="247"/>
      <c r="I59" s="247"/>
      <c r="J59" s="247"/>
      <c r="K59" s="247"/>
    </row>
    <row r="60" spans="1:7" ht="13.5" thickBot="1">
      <c r="A60" s="142" t="s">
        <v>200</v>
      </c>
      <c r="B60" s="143">
        <f aca="true" t="shared" si="1" ref="B60:G60">SUM(B40:B59)</f>
        <v>525553</v>
      </c>
      <c r="C60" s="143">
        <f t="shared" si="1"/>
        <v>1882072</v>
      </c>
      <c r="D60" s="143">
        <f t="shared" si="1"/>
        <v>310944</v>
      </c>
      <c r="E60" s="143">
        <f t="shared" si="1"/>
        <v>843852</v>
      </c>
      <c r="F60" s="143">
        <f t="shared" si="1"/>
        <v>34794</v>
      </c>
      <c r="G60" s="144">
        <f t="shared" si="1"/>
        <v>48616</v>
      </c>
    </row>
    <row r="61" spans="1:7" ht="12.75">
      <c r="A61" s="17" t="s">
        <v>230</v>
      </c>
      <c r="B61" s="15"/>
      <c r="C61" s="15"/>
      <c r="D61" s="15"/>
      <c r="E61" s="15"/>
      <c r="F61" s="15"/>
      <c r="G61" s="15"/>
    </row>
    <row r="62" spans="1:2" ht="12.75">
      <c r="A62" s="1" t="s">
        <v>203</v>
      </c>
      <c r="B62" s="18"/>
    </row>
    <row r="63" ht="12.75">
      <c r="A63" s="18" t="s">
        <v>266</v>
      </c>
    </row>
  </sheetData>
  <mergeCells count="12">
    <mergeCell ref="B37:C37"/>
    <mergeCell ref="D37:E37"/>
    <mergeCell ref="A34:G34"/>
    <mergeCell ref="B36:E36"/>
    <mergeCell ref="F36:G36"/>
    <mergeCell ref="D6:G6"/>
    <mergeCell ref="B6:C6"/>
    <mergeCell ref="A1:G1"/>
    <mergeCell ref="D7:E7"/>
    <mergeCell ref="F7:G7"/>
    <mergeCell ref="A3:G3"/>
    <mergeCell ref="A4:G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S32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13" customWidth="1"/>
    <col min="2" max="7" width="15.7109375" style="13" customWidth="1"/>
    <col min="8" max="8" width="16.421875" style="13" customWidth="1"/>
    <col min="9" max="9" width="2.28125" style="13" customWidth="1"/>
    <col min="10" max="10" width="16.421875" style="13" customWidth="1"/>
    <col min="11" max="11" width="2.28125" style="13" customWidth="1"/>
    <col min="12" max="16384" width="19.140625" style="13" customWidth="1"/>
  </cols>
  <sheetData>
    <row r="1" spans="1:19" ht="18">
      <c r="A1" s="426" t="s">
        <v>139</v>
      </c>
      <c r="B1" s="426"/>
      <c r="C1" s="426"/>
      <c r="D1" s="426"/>
      <c r="E1" s="426"/>
      <c r="F1" s="426"/>
      <c r="G1" s="426"/>
      <c r="H1" s="42"/>
      <c r="I1" s="42"/>
      <c r="J1" s="14"/>
      <c r="K1" s="14"/>
      <c r="M1" s="14"/>
      <c r="N1" s="14"/>
      <c r="O1" s="14"/>
      <c r="P1" s="14"/>
      <c r="Q1" s="14"/>
      <c r="R1" s="14"/>
      <c r="S1" s="14"/>
    </row>
    <row r="2" spans="2:19" ht="18">
      <c r="B2" s="121"/>
      <c r="C2" s="121"/>
      <c r="D2" s="121"/>
      <c r="E2" s="121"/>
      <c r="F2" s="121"/>
      <c r="G2" s="121"/>
      <c r="H2" s="42"/>
      <c r="I2" s="42"/>
      <c r="J2" s="14"/>
      <c r="K2" s="14"/>
      <c r="M2" s="14"/>
      <c r="N2" s="14"/>
      <c r="O2" s="14"/>
      <c r="P2" s="14"/>
      <c r="Q2" s="14"/>
      <c r="R2" s="14"/>
      <c r="S2" s="14"/>
    </row>
    <row r="3" spans="1:19" ht="15">
      <c r="A3" s="448" t="s">
        <v>212</v>
      </c>
      <c r="B3" s="448"/>
      <c r="C3" s="448"/>
      <c r="D3" s="448"/>
      <c r="E3" s="448"/>
      <c r="F3" s="448"/>
      <c r="G3" s="448"/>
      <c r="H3" s="42"/>
      <c r="I3" s="42"/>
      <c r="J3" s="14"/>
      <c r="K3" s="14"/>
      <c r="M3" s="14"/>
      <c r="N3" s="14"/>
      <c r="O3" s="14"/>
      <c r="P3" s="14"/>
      <c r="Q3" s="14"/>
      <c r="R3" s="14"/>
      <c r="S3" s="14"/>
    </row>
    <row r="4" spans="1:19" ht="15">
      <c r="A4" s="427" t="s">
        <v>213</v>
      </c>
      <c r="B4" s="427"/>
      <c r="C4" s="427"/>
      <c r="D4" s="427"/>
      <c r="E4" s="427"/>
      <c r="F4" s="427"/>
      <c r="G4" s="427"/>
      <c r="H4" s="14"/>
      <c r="I4" s="14"/>
      <c r="J4" s="14"/>
      <c r="K4" s="14"/>
      <c r="M4" s="14"/>
      <c r="N4" s="14"/>
      <c r="O4" s="14"/>
      <c r="P4" s="14"/>
      <c r="Q4" s="14"/>
      <c r="R4" s="14"/>
      <c r="S4" s="14"/>
    </row>
    <row r="5" spans="1:19" ht="15">
      <c r="A5" s="448"/>
      <c r="B5" s="448"/>
      <c r="C5" s="448"/>
      <c r="D5" s="448"/>
      <c r="E5" s="448"/>
      <c r="F5" s="448"/>
      <c r="G5" s="448"/>
      <c r="H5" s="14"/>
      <c r="I5" s="14"/>
      <c r="J5" s="14"/>
      <c r="K5" s="14"/>
      <c r="M5" s="14"/>
      <c r="N5" s="14"/>
      <c r="O5" s="14"/>
      <c r="P5" s="14"/>
      <c r="Q5" s="14"/>
      <c r="R5" s="14"/>
      <c r="S5" s="14"/>
    </row>
    <row r="6" spans="1:7" ht="12.75">
      <c r="A6" s="70" t="s">
        <v>22</v>
      </c>
      <c r="B6" s="449" t="s">
        <v>151</v>
      </c>
      <c r="C6" s="450"/>
      <c r="D6" s="449" t="s">
        <v>59</v>
      </c>
      <c r="E6" s="450"/>
      <c r="F6" s="449" t="s">
        <v>60</v>
      </c>
      <c r="G6" s="451"/>
    </row>
    <row r="7" spans="1:11" ht="12.75">
      <c r="A7" s="64"/>
      <c r="B7" s="68" t="s">
        <v>201</v>
      </c>
      <c r="C7" s="68" t="s">
        <v>163</v>
      </c>
      <c r="D7" s="68" t="s">
        <v>201</v>
      </c>
      <c r="E7" s="68" t="s">
        <v>163</v>
      </c>
      <c r="F7" s="68" t="s">
        <v>201</v>
      </c>
      <c r="G7" s="69" t="s">
        <v>163</v>
      </c>
      <c r="H7" s="14"/>
      <c r="I7" s="14"/>
      <c r="J7" s="14"/>
      <c r="K7" s="14"/>
    </row>
    <row r="8" spans="1:11" ht="13.5" thickBot="1">
      <c r="A8" s="152"/>
      <c r="B8" s="134" t="s">
        <v>78</v>
      </c>
      <c r="C8" s="153"/>
      <c r="D8" s="134" t="s">
        <v>78</v>
      </c>
      <c r="E8" s="153"/>
      <c r="F8" s="134" t="s">
        <v>78</v>
      </c>
      <c r="G8" s="154"/>
      <c r="H8" s="14"/>
      <c r="I8" s="14"/>
      <c r="J8" s="14"/>
      <c r="K8" s="14"/>
    </row>
    <row r="9" spans="1:11" ht="12.75">
      <c r="A9" s="64" t="s">
        <v>26</v>
      </c>
      <c r="B9" s="251">
        <v>171462</v>
      </c>
      <c r="C9" s="252">
        <v>437812</v>
      </c>
      <c r="D9" s="253">
        <v>152786</v>
      </c>
      <c r="E9" s="252">
        <v>386342</v>
      </c>
      <c r="F9" s="253">
        <v>59713</v>
      </c>
      <c r="G9" s="254">
        <v>51470</v>
      </c>
      <c r="H9" s="14"/>
      <c r="I9" s="14"/>
      <c r="J9" s="14"/>
      <c r="K9" s="14"/>
    </row>
    <row r="10" spans="1:11" ht="12.75">
      <c r="A10" s="64" t="s">
        <v>27</v>
      </c>
      <c r="B10" s="251">
        <v>39819</v>
      </c>
      <c r="C10" s="252">
        <v>445462</v>
      </c>
      <c r="D10" s="253">
        <v>39712</v>
      </c>
      <c r="E10" s="252">
        <v>438491</v>
      </c>
      <c r="F10" s="253">
        <v>2591</v>
      </c>
      <c r="G10" s="254">
        <v>6970</v>
      </c>
      <c r="H10" s="14"/>
      <c r="I10" s="14"/>
      <c r="J10" s="14"/>
      <c r="K10" s="14"/>
    </row>
    <row r="11" spans="1:11" ht="12.75">
      <c r="A11" s="64" t="s">
        <v>28</v>
      </c>
      <c r="B11" s="252">
        <v>16923</v>
      </c>
      <c r="C11" s="252">
        <v>270049</v>
      </c>
      <c r="D11" s="252">
        <v>16919</v>
      </c>
      <c r="E11" s="252">
        <v>269458</v>
      </c>
      <c r="F11" s="252">
        <v>244</v>
      </c>
      <c r="G11" s="254">
        <v>591</v>
      </c>
      <c r="H11" s="14"/>
      <c r="I11" s="14"/>
      <c r="J11" s="14"/>
      <c r="K11" s="14"/>
    </row>
    <row r="12" spans="1:11" ht="12.75">
      <c r="A12" s="64" t="s">
        <v>29</v>
      </c>
      <c r="B12" s="252">
        <v>28253</v>
      </c>
      <c r="C12" s="252">
        <v>174150</v>
      </c>
      <c r="D12" s="252">
        <v>28239</v>
      </c>
      <c r="E12" s="252">
        <v>173926</v>
      </c>
      <c r="F12" s="252">
        <v>28</v>
      </c>
      <c r="G12" s="254">
        <v>224</v>
      </c>
      <c r="H12" s="14"/>
      <c r="I12" s="14"/>
      <c r="J12" s="14"/>
      <c r="K12" s="14"/>
    </row>
    <row r="13" spans="1:11" ht="12.75">
      <c r="A13" s="64" t="s">
        <v>30</v>
      </c>
      <c r="B13" s="252">
        <v>7984</v>
      </c>
      <c r="C13" s="252">
        <v>271947</v>
      </c>
      <c r="D13" s="252">
        <v>7869</v>
      </c>
      <c r="E13" s="252">
        <v>270305</v>
      </c>
      <c r="F13" s="252">
        <v>177</v>
      </c>
      <c r="G13" s="254">
        <v>1642</v>
      </c>
      <c r="H13" s="14"/>
      <c r="I13" s="14"/>
      <c r="J13" s="14"/>
      <c r="K13" s="14"/>
    </row>
    <row r="14" spans="1:11" ht="12.75">
      <c r="A14" s="64" t="s">
        <v>31</v>
      </c>
      <c r="B14" s="252">
        <v>1733</v>
      </c>
      <c r="C14" s="252">
        <v>99757</v>
      </c>
      <c r="D14" s="252">
        <v>1711</v>
      </c>
      <c r="E14" s="252">
        <v>99364</v>
      </c>
      <c r="F14" s="252">
        <v>50</v>
      </c>
      <c r="G14" s="254">
        <v>393</v>
      </c>
      <c r="H14" s="14"/>
      <c r="I14" s="14"/>
      <c r="J14" s="14"/>
      <c r="K14" s="14"/>
    </row>
    <row r="15" spans="1:11" ht="12.75">
      <c r="A15" s="64" t="s">
        <v>32</v>
      </c>
      <c r="B15" s="252">
        <v>6709</v>
      </c>
      <c r="C15" s="252">
        <v>742495</v>
      </c>
      <c r="D15" s="252">
        <v>6248</v>
      </c>
      <c r="E15" s="252">
        <v>736789</v>
      </c>
      <c r="F15" s="252">
        <v>971</v>
      </c>
      <c r="G15" s="254">
        <v>5707</v>
      </c>
      <c r="H15" s="14"/>
      <c r="I15" s="14"/>
      <c r="J15" s="14"/>
      <c r="K15" s="14"/>
    </row>
    <row r="16" spans="1:11" ht="12.75">
      <c r="A16" s="64" t="s">
        <v>33</v>
      </c>
      <c r="B16" s="252">
        <v>4607</v>
      </c>
      <c r="C16" s="252">
        <v>339797</v>
      </c>
      <c r="D16" s="252">
        <v>4292</v>
      </c>
      <c r="E16" s="252">
        <v>331010</v>
      </c>
      <c r="F16" s="252">
        <v>916</v>
      </c>
      <c r="G16" s="254">
        <v>8787</v>
      </c>
      <c r="H16" s="14"/>
      <c r="I16" s="14"/>
      <c r="J16" s="14"/>
      <c r="K16" s="14"/>
    </row>
    <row r="17" spans="1:11" ht="12.75">
      <c r="A17" s="64" t="s">
        <v>34</v>
      </c>
      <c r="B17" s="252">
        <v>840</v>
      </c>
      <c r="C17" s="252">
        <v>22310</v>
      </c>
      <c r="D17" s="252">
        <v>840</v>
      </c>
      <c r="E17" s="252">
        <v>22310</v>
      </c>
      <c r="F17" s="252">
        <v>1</v>
      </c>
      <c r="G17" s="256" t="s">
        <v>142</v>
      </c>
      <c r="H17" s="14"/>
      <c r="I17" s="14"/>
      <c r="J17" s="14"/>
      <c r="K17" s="14"/>
    </row>
    <row r="18" spans="1:11" ht="12.75">
      <c r="A18" s="64" t="s">
        <v>35</v>
      </c>
      <c r="B18" s="252">
        <v>53379</v>
      </c>
      <c r="C18" s="252">
        <v>2226126</v>
      </c>
      <c r="D18" s="252">
        <v>47430</v>
      </c>
      <c r="E18" s="252">
        <v>2183914</v>
      </c>
      <c r="F18" s="252">
        <v>10930</v>
      </c>
      <c r="G18" s="254">
        <v>42212</v>
      </c>
      <c r="H18" s="14"/>
      <c r="I18" s="14"/>
      <c r="J18" s="14"/>
      <c r="K18" s="14"/>
    </row>
    <row r="19" spans="1:11" ht="12.75">
      <c r="A19" s="64" t="s">
        <v>36</v>
      </c>
      <c r="B19" s="252">
        <v>3538</v>
      </c>
      <c r="C19" s="252">
        <v>159567</v>
      </c>
      <c r="D19" s="252">
        <v>3478</v>
      </c>
      <c r="E19" s="252">
        <v>157846</v>
      </c>
      <c r="F19" s="252">
        <v>149</v>
      </c>
      <c r="G19" s="254">
        <v>1721</v>
      </c>
      <c r="H19" s="14"/>
      <c r="I19" s="14"/>
      <c r="J19" s="14"/>
      <c r="K19" s="14"/>
    </row>
    <row r="20" spans="1:11" ht="12.75">
      <c r="A20" s="64" t="s">
        <v>37</v>
      </c>
      <c r="B20" s="252">
        <v>17305</v>
      </c>
      <c r="C20" s="252">
        <v>818113</v>
      </c>
      <c r="D20" s="252">
        <v>17055</v>
      </c>
      <c r="E20" s="252">
        <v>814289</v>
      </c>
      <c r="F20" s="252">
        <v>394</v>
      </c>
      <c r="G20" s="254">
        <v>3824</v>
      </c>
      <c r="H20" s="14"/>
      <c r="I20" s="14"/>
      <c r="J20" s="14"/>
      <c r="K20" s="14"/>
    </row>
    <row r="21" spans="1:11" ht="12.75">
      <c r="A21" s="64" t="s">
        <v>38</v>
      </c>
      <c r="B21" s="252">
        <v>2052</v>
      </c>
      <c r="C21" s="252">
        <v>126128</v>
      </c>
      <c r="D21" s="252">
        <v>1948</v>
      </c>
      <c r="E21" s="252">
        <v>125106</v>
      </c>
      <c r="F21" s="252">
        <v>107</v>
      </c>
      <c r="G21" s="254">
        <v>1022</v>
      </c>
      <c r="H21" s="14"/>
      <c r="I21" s="14"/>
      <c r="J21" s="14"/>
      <c r="K21" s="14"/>
    </row>
    <row r="22" spans="1:11" ht="12.75">
      <c r="A22" s="64" t="s">
        <v>39</v>
      </c>
      <c r="B22" s="252">
        <v>492</v>
      </c>
      <c r="C22" s="252">
        <v>16046</v>
      </c>
      <c r="D22" s="252">
        <v>467</v>
      </c>
      <c r="E22" s="252">
        <v>15941</v>
      </c>
      <c r="F22" s="252">
        <v>26</v>
      </c>
      <c r="G22" s="254">
        <v>105</v>
      </c>
      <c r="H22" s="14"/>
      <c r="I22" s="14"/>
      <c r="J22" s="14"/>
      <c r="K22" s="14"/>
    </row>
    <row r="23" spans="1:11" ht="12.75">
      <c r="A23" s="64" t="s">
        <v>40</v>
      </c>
      <c r="B23" s="252">
        <v>39441</v>
      </c>
      <c r="C23" s="252">
        <v>1787298</v>
      </c>
      <c r="D23" s="252">
        <v>37832</v>
      </c>
      <c r="E23" s="252">
        <v>1765276</v>
      </c>
      <c r="F23" s="252">
        <v>2949</v>
      </c>
      <c r="G23" s="254">
        <v>22022</v>
      </c>
      <c r="I23" s="14"/>
      <c r="K23" s="14"/>
    </row>
    <row r="24" spans="1:11" ht="12.75">
      <c r="A24" s="64" t="s">
        <v>41</v>
      </c>
      <c r="B24" s="252">
        <v>23753</v>
      </c>
      <c r="C24" s="252">
        <v>1429244</v>
      </c>
      <c r="D24" s="252">
        <v>23433</v>
      </c>
      <c r="E24" s="252">
        <v>1422115</v>
      </c>
      <c r="F24" s="252">
        <v>486</v>
      </c>
      <c r="G24" s="254">
        <v>7129</v>
      </c>
      <c r="H24" s="14"/>
      <c r="I24" s="14"/>
      <c r="J24" s="14"/>
      <c r="K24" s="14"/>
    </row>
    <row r="25" spans="1:11" ht="12.75">
      <c r="A25" s="64" t="s">
        <v>42</v>
      </c>
      <c r="B25" s="252">
        <v>3082</v>
      </c>
      <c r="C25" s="252">
        <v>30079</v>
      </c>
      <c r="D25" s="252">
        <v>3014</v>
      </c>
      <c r="E25" s="252">
        <v>29936</v>
      </c>
      <c r="F25" s="252">
        <v>70</v>
      </c>
      <c r="G25" s="254">
        <v>142</v>
      </c>
      <c r="I25" s="14"/>
      <c r="J25" s="14"/>
      <c r="K25" s="14"/>
    </row>
    <row r="26" spans="1:10" s="20" customFormat="1" ht="12.75">
      <c r="A26" s="32" t="s">
        <v>227</v>
      </c>
      <c r="B26" s="226">
        <v>2</v>
      </c>
      <c r="C26" s="226">
        <v>48</v>
      </c>
      <c r="D26" s="226">
        <v>1</v>
      </c>
      <c r="E26" s="239">
        <v>48</v>
      </c>
      <c r="F26" s="240">
        <v>1</v>
      </c>
      <c r="G26" s="255" t="s">
        <v>142</v>
      </c>
      <c r="H26" s="241"/>
      <c r="I26" s="241"/>
      <c r="J26" s="248"/>
    </row>
    <row r="27" spans="1:10" s="20" customFormat="1" ht="12.75">
      <c r="A27" s="32" t="s">
        <v>228</v>
      </c>
      <c r="B27" s="226" t="s">
        <v>142</v>
      </c>
      <c r="C27" s="226" t="s">
        <v>142</v>
      </c>
      <c r="D27" s="226" t="s">
        <v>142</v>
      </c>
      <c r="E27" s="239" t="s">
        <v>142</v>
      </c>
      <c r="F27" s="236" t="s">
        <v>142</v>
      </c>
      <c r="G27" s="243" t="s">
        <v>142</v>
      </c>
      <c r="H27" s="244"/>
      <c r="I27" s="241"/>
      <c r="J27" s="248"/>
    </row>
    <row r="28" spans="1:10" ht="12.75">
      <c r="A28" s="64"/>
      <c r="B28" s="66"/>
      <c r="C28" s="66"/>
      <c r="D28" s="66"/>
      <c r="E28" s="66"/>
      <c r="F28" s="66"/>
      <c r="G28" s="67"/>
      <c r="H28" s="199"/>
      <c r="I28" s="199"/>
      <c r="J28" s="199"/>
    </row>
    <row r="29" spans="1:10" ht="13.5" thickBot="1">
      <c r="A29" s="155" t="s">
        <v>200</v>
      </c>
      <c r="B29" s="156">
        <f aca="true" t="shared" si="0" ref="B29:G29">SUM(B9:B28)</f>
        <v>421374</v>
      </c>
      <c r="C29" s="156">
        <f t="shared" si="0"/>
        <v>9396428</v>
      </c>
      <c r="D29" s="156">
        <f t="shared" si="0"/>
        <v>393274</v>
      </c>
      <c r="E29" s="156">
        <f t="shared" si="0"/>
        <v>9242466</v>
      </c>
      <c r="F29" s="156">
        <f t="shared" si="0"/>
        <v>79803</v>
      </c>
      <c r="G29" s="157">
        <f t="shared" si="0"/>
        <v>153961</v>
      </c>
      <c r="H29" s="199"/>
      <c r="I29" s="199"/>
      <c r="J29" s="199"/>
    </row>
    <row r="30" spans="1:7" ht="12.75">
      <c r="A30" s="17" t="s">
        <v>230</v>
      </c>
      <c r="B30" s="14"/>
      <c r="C30" s="14"/>
      <c r="D30" s="14"/>
      <c r="E30" s="14"/>
      <c r="F30" s="14"/>
      <c r="G30" s="14"/>
    </row>
    <row r="31" spans="1:7" ht="12.75">
      <c r="A31" s="1" t="s">
        <v>203</v>
      </c>
      <c r="B31" s="14"/>
      <c r="C31" s="14"/>
      <c r="D31" s="14"/>
      <c r="E31" s="14"/>
      <c r="F31" s="14"/>
      <c r="G31" s="14"/>
    </row>
    <row r="32" spans="2:7" ht="12.75">
      <c r="B32" s="14"/>
      <c r="C32" s="14"/>
      <c r="D32" s="14"/>
      <c r="E32" s="14"/>
      <c r="F32" s="14"/>
      <c r="G32" s="14"/>
    </row>
  </sheetData>
  <mergeCells count="7">
    <mergeCell ref="A1:G1"/>
    <mergeCell ref="A3:G3"/>
    <mergeCell ref="A5:G5"/>
    <mergeCell ref="B6:C6"/>
    <mergeCell ref="D6:E6"/>
    <mergeCell ref="F6:G6"/>
    <mergeCell ref="A4:G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8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S64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13" customWidth="1"/>
    <col min="2" max="7" width="15.7109375" style="13" customWidth="1"/>
    <col min="8" max="8" width="16.421875" style="13" customWidth="1"/>
    <col min="9" max="9" width="2.28125" style="13" customWidth="1"/>
    <col min="10" max="10" width="16.421875" style="13" customWidth="1"/>
    <col min="11" max="11" width="2.28125" style="13" customWidth="1"/>
    <col min="12" max="16384" width="19.140625" style="13" customWidth="1"/>
  </cols>
  <sheetData>
    <row r="1" spans="1:19" ht="18">
      <c r="A1" s="426" t="s">
        <v>139</v>
      </c>
      <c r="B1" s="426"/>
      <c r="C1" s="426"/>
      <c r="D1" s="426"/>
      <c r="E1" s="426"/>
      <c r="F1" s="426"/>
      <c r="G1" s="426"/>
      <c r="H1" s="42"/>
      <c r="I1" s="42"/>
      <c r="J1" s="14"/>
      <c r="K1" s="14"/>
      <c r="M1" s="14"/>
      <c r="N1" s="14"/>
      <c r="O1" s="14"/>
      <c r="P1" s="14"/>
      <c r="Q1" s="14"/>
      <c r="R1" s="14"/>
      <c r="S1" s="14"/>
    </row>
    <row r="2" spans="2:7" ht="12.75">
      <c r="B2" s="14"/>
      <c r="C2" s="14"/>
      <c r="D2" s="14"/>
      <c r="E2" s="14"/>
      <c r="F2" s="14"/>
      <c r="G2" s="14"/>
    </row>
    <row r="3" spans="1:7" ht="15">
      <c r="A3" s="448" t="s">
        <v>214</v>
      </c>
      <c r="B3" s="448"/>
      <c r="C3" s="448"/>
      <c r="D3" s="448"/>
      <c r="E3" s="448"/>
      <c r="F3" s="448"/>
      <c r="G3" s="448"/>
    </row>
    <row r="4" spans="1:7" ht="15">
      <c r="A4" s="448" t="s">
        <v>215</v>
      </c>
      <c r="B4" s="448"/>
      <c r="C4" s="448"/>
      <c r="D4" s="448"/>
      <c r="E4" s="448"/>
      <c r="F4" s="448"/>
      <c r="G4" s="448"/>
    </row>
    <row r="6" spans="1:7" ht="12.75">
      <c r="A6" s="62"/>
      <c r="B6" s="452" t="s">
        <v>152</v>
      </c>
      <c r="C6" s="453"/>
      <c r="D6" s="452" t="s">
        <v>61</v>
      </c>
      <c r="E6" s="453"/>
      <c r="F6" s="452" t="s">
        <v>62</v>
      </c>
      <c r="G6" s="454"/>
    </row>
    <row r="7" spans="1:7" ht="12.75">
      <c r="A7" s="63" t="s">
        <v>22</v>
      </c>
      <c r="B7" s="65" t="s">
        <v>201</v>
      </c>
      <c r="C7" s="68"/>
      <c r="D7" s="65" t="s">
        <v>201</v>
      </c>
      <c r="E7" s="68"/>
      <c r="F7" s="65" t="s">
        <v>201</v>
      </c>
      <c r="G7" s="69"/>
    </row>
    <row r="8" spans="1:7" ht="13.5" thickBot="1">
      <c r="A8" s="152"/>
      <c r="B8" s="134" t="s">
        <v>78</v>
      </c>
      <c r="C8" s="153" t="s">
        <v>163</v>
      </c>
      <c r="D8" s="134" t="s">
        <v>78</v>
      </c>
      <c r="E8" s="153" t="s">
        <v>163</v>
      </c>
      <c r="F8" s="134" t="s">
        <v>78</v>
      </c>
      <c r="G8" s="154" t="s">
        <v>163</v>
      </c>
    </row>
    <row r="9" spans="1:19" ht="12.75">
      <c r="A9" s="64" t="s">
        <v>26</v>
      </c>
      <c r="B9" s="66">
        <v>252714</v>
      </c>
      <c r="C9" s="66">
        <v>1345108</v>
      </c>
      <c r="D9" s="66">
        <v>12055</v>
      </c>
      <c r="E9" s="66">
        <v>24791</v>
      </c>
      <c r="F9" s="66">
        <v>208</v>
      </c>
      <c r="G9" s="67">
        <v>67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.75">
      <c r="A10" s="64" t="s">
        <v>27</v>
      </c>
      <c r="B10" s="66">
        <v>30063</v>
      </c>
      <c r="C10" s="66">
        <v>324511</v>
      </c>
      <c r="D10" s="66">
        <v>471</v>
      </c>
      <c r="E10" s="66">
        <v>9203</v>
      </c>
      <c r="F10" s="66">
        <v>3</v>
      </c>
      <c r="G10" s="67">
        <v>3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>
      <c r="A11" s="64" t="s">
        <v>28</v>
      </c>
      <c r="B11" s="66">
        <v>9170</v>
      </c>
      <c r="C11" s="66">
        <v>186433</v>
      </c>
      <c r="D11" s="66">
        <v>1019</v>
      </c>
      <c r="E11" s="66">
        <v>26531</v>
      </c>
      <c r="F11" s="257" t="s">
        <v>142</v>
      </c>
      <c r="G11" s="258" t="s">
        <v>142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>
      <c r="A12" s="64" t="s">
        <v>29</v>
      </c>
      <c r="B12" s="66">
        <v>35084</v>
      </c>
      <c r="C12" s="66">
        <v>346867</v>
      </c>
      <c r="D12" s="66">
        <v>1159</v>
      </c>
      <c r="E12" s="66">
        <v>12205</v>
      </c>
      <c r="F12" s="257" t="s">
        <v>142</v>
      </c>
      <c r="G12" s="258" t="s">
        <v>142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>
      <c r="A13" s="64" t="s">
        <v>30</v>
      </c>
      <c r="B13" s="66">
        <v>10948</v>
      </c>
      <c r="C13" s="66">
        <v>351060</v>
      </c>
      <c r="D13" s="66">
        <v>583</v>
      </c>
      <c r="E13" s="66">
        <v>5637</v>
      </c>
      <c r="F13" s="66">
        <v>8</v>
      </c>
      <c r="G13" s="67">
        <v>18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.75">
      <c r="A14" s="64" t="s">
        <v>31</v>
      </c>
      <c r="B14" s="66">
        <v>8270</v>
      </c>
      <c r="C14" s="66">
        <v>207701</v>
      </c>
      <c r="D14" s="66">
        <v>1156</v>
      </c>
      <c r="E14" s="66">
        <v>37378</v>
      </c>
      <c r="F14" s="66">
        <v>6</v>
      </c>
      <c r="G14" s="67">
        <v>106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>
      <c r="A15" s="64" t="s">
        <v>32</v>
      </c>
      <c r="B15" s="66">
        <v>40965</v>
      </c>
      <c r="C15" s="66">
        <v>1683471</v>
      </c>
      <c r="D15" s="66">
        <v>11667</v>
      </c>
      <c r="E15" s="66">
        <v>416237</v>
      </c>
      <c r="F15" s="66">
        <v>189</v>
      </c>
      <c r="G15" s="67">
        <v>5628</v>
      </c>
      <c r="H15" s="14"/>
      <c r="I15" s="14"/>
      <c r="J15" s="14"/>
      <c r="K15" s="14"/>
      <c r="L15" s="14"/>
      <c r="M15" s="14"/>
      <c r="O15" s="14"/>
      <c r="P15" s="14"/>
      <c r="Q15" s="14"/>
      <c r="R15" s="14"/>
      <c r="S15" s="14"/>
    </row>
    <row r="16" spans="1:19" ht="12.75">
      <c r="A16" s="64" t="s">
        <v>33</v>
      </c>
      <c r="B16" s="66">
        <v>43743</v>
      </c>
      <c r="C16" s="66">
        <v>1147151</v>
      </c>
      <c r="D16" s="66">
        <v>10060</v>
      </c>
      <c r="E16" s="66">
        <v>85914</v>
      </c>
      <c r="F16" s="66">
        <v>74</v>
      </c>
      <c r="G16" s="67">
        <v>868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>
      <c r="A17" s="64" t="s">
        <v>34</v>
      </c>
      <c r="B17" s="66">
        <v>13511</v>
      </c>
      <c r="C17" s="66">
        <v>152708</v>
      </c>
      <c r="D17" s="66">
        <v>443</v>
      </c>
      <c r="E17" s="66">
        <v>10241</v>
      </c>
      <c r="F17" s="66">
        <v>59</v>
      </c>
      <c r="G17" s="67">
        <v>524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>
      <c r="A18" s="64" t="s">
        <v>35</v>
      </c>
      <c r="B18" s="66">
        <v>94712</v>
      </c>
      <c r="C18" s="66">
        <v>2366277</v>
      </c>
      <c r="D18" s="66">
        <v>17594</v>
      </c>
      <c r="E18" s="66">
        <v>359585</v>
      </c>
      <c r="F18" s="66">
        <v>457</v>
      </c>
      <c r="G18" s="67">
        <v>1796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.75">
      <c r="A19" s="64" t="s">
        <v>36</v>
      </c>
      <c r="B19" s="66">
        <v>5552</v>
      </c>
      <c r="C19" s="66">
        <v>168098</v>
      </c>
      <c r="D19" s="66">
        <v>2579</v>
      </c>
      <c r="E19" s="66">
        <v>28908</v>
      </c>
      <c r="F19" s="66">
        <v>22</v>
      </c>
      <c r="G19" s="67">
        <v>1486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>
      <c r="A20" s="64" t="s">
        <v>37</v>
      </c>
      <c r="B20" s="66">
        <v>72498</v>
      </c>
      <c r="C20" s="66">
        <v>2288014</v>
      </c>
      <c r="D20" s="66">
        <v>25284</v>
      </c>
      <c r="E20" s="66">
        <v>260088</v>
      </c>
      <c r="F20" s="66">
        <v>956</v>
      </c>
      <c r="G20" s="67">
        <v>33016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.75">
      <c r="A21" s="64" t="s">
        <v>38</v>
      </c>
      <c r="B21" s="66">
        <v>92262</v>
      </c>
      <c r="C21" s="66">
        <v>942237</v>
      </c>
      <c r="D21" s="66">
        <v>13895</v>
      </c>
      <c r="E21" s="66">
        <v>70766</v>
      </c>
      <c r="F21" s="66">
        <v>293</v>
      </c>
      <c r="G21" s="67">
        <v>7975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>
      <c r="A22" s="64" t="s">
        <v>39</v>
      </c>
      <c r="B22" s="66">
        <v>22823</v>
      </c>
      <c r="C22" s="66">
        <v>398616</v>
      </c>
      <c r="D22" s="66">
        <v>1378</v>
      </c>
      <c r="E22" s="66">
        <v>27484</v>
      </c>
      <c r="F22" s="66">
        <v>490</v>
      </c>
      <c r="G22" s="67">
        <v>34221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>
      <c r="A23" s="64" t="s">
        <v>40</v>
      </c>
      <c r="B23" s="66">
        <v>41192</v>
      </c>
      <c r="C23" s="66">
        <v>762506</v>
      </c>
      <c r="D23" s="66">
        <v>3356</v>
      </c>
      <c r="E23" s="66">
        <v>24404</v>
      </c>
      <c r="F23" s="66">
        <v>286</v>
      </c>
      <c r="G23" s="67">
        <v>1411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>
      <c r="A24" s="64" t="s">
        <v>41</v>
      </c>
      <c r="B24" s="66">
        <v>115629</v>
      </c>
      <c r="C24" s="66">
        <v>2814835</v>
      </c>
      <c r="D24" s="66">
        <v>15839</v>
      </c>
      <c r="E24" s="66">
        <v>362478</v>
      </c>
      <c r="F24" s="66">
        <v>1715</v>
      </c>
      <c r="G24" s="67">
        <v>74167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.75">
      <c r="A25" s="64" t="s">
        <v>42</v>
      </c>
      <c r="B25" s="66">
        <v>22828</v>
      </c>
      <c r="C25" s="66">
        <v>377546</v>
      </c>
      <c r="D25" s="66">
        <v>8116</v>
      </c>
      <c r="E25" s="66">
        <v>149339</v>
      </c>
      <c r="F25" s="66">
        <v>6</v>
      </c>
      <c r="G25" s="67">
        <v>5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0" s="20" customFormat="1" ht="12.75">
      <c r="A26" s="32" t="s">
        <v>227</v>
      </c>
      <c r="B26" s="226">
        <v>14</v>
      </c>
      <c r="C26" s="226">
        <v>728</v>
      </c>
      <c r="D26" s="226">
        <v>3</v>
      </c>
      <c r="E26" s="239">
        <v>145</v>
      </c>
      <c r="F26" s="240">
        <v>2</v>
      </c>
      <c r="G26" s="255">
        <v>38</v>
      </c>
      <c r="H26" s="241"/>
      <c r="I26" s="241"/>
      <c r="J26" s="248"/>
    </row>
    <row r="27" spans="1:10" s="20" customFormat="1" ht="12.75">
      <c r="A27" s="32" t="s">
        <v>228</v>
      </c>
      <c r="B27" s="226">
        <v>32</v>
      </c>
      <c r="C27" s="226">
        <v>296</v>
      </c>
      <c r="D27" s="226">
        <v>1</v>
      </c>
      <c r="E27" s="239">
        <v>50</v>
      </c>
      <c r="F27" s="236" t="s">
        <v>142</v>
      </c>
      <c r="G27" s="243" t="s">
        <v>142</v>
      </c>
      <c r="H27" s="244"/>
      <c r="I27" s="241"/>
      <c r="J27" s="248"/>
    </row>
    <row r="28" spans="1:19" ht="12.75">
      <c r="A28" s="64"/>
      <c r="B28" s="71"/>
      <c r="C28" s="71"/>
      <c r="D28" s="71"/>
      <c r="E28" s="71"/>
      <c r="F28" s="71"/>
      <c r="G28" s="72"/>
      <c r="I28" s="14"/>
      <c r="K28" s="14"/>
      <c r="M28" s="14"/>
      <c r="O28" s="14"/>
      <c r="Q28" s="14"/>
      <c r="S28" s="14"/>
    </row>
    <row r="29" spans="1:19" ht="13.5" thickBot="1">
      <c r="A29" s="155" t="s">
        <v>200</v>
      </c>
      <c r="B29" s="156">
        <f aca="true" t="shared" si="0" ref="B29:G29">SUM(B9:B28)</f>
        <v>912010</v>
      </c>
      <c r="C29" s="156">
        <f t="shared" si="0"/>
        <v>15864163</v>
      </c>
      <c r="D29" s="156">
        <f t="shared" si="0"/>
        <v>126658</v>
      </c>
      <c r="E29" s="156">
        <f t="shared" si="0"/>
        <v>1911384</v>
      </c>
      <c r="F29" s="156">
        <f t="shared" si="0"/>
        <v>4774</v>
      </c>
      <c r="G29" s="157">
        <f t="shared" si="0"/>
        <v>161329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2:4" ht="12.75">
      <c r="B30" s="14"/>
      <c r="C30" s="14"/>
      <c r="D30" s="14"/>
    </row>
    <row r="31" ht="12.75">
      <c r="B31" s="20"/>
    </row>
    <row r="34" spans="1:7" ht="15">
      <c r="A34" s="448"/>
      <c r="B34" s="448"/>
      <c r="C34" s="448"/>
      <c r="D34" s="448"/>
      <c r="E34" s="448"/>
      <c r="F34" s="448"/>
      <c r="G34" s="448"/>
    </row>
    <row r="35" spans="1:7" ht="15">
      <c r="A35" s="448"/>
      <c r="B35" s="448"/>
      <c r="C35" s="448"/>
      <c r="D35" s="448"/>
      <c r="E35" s="448"/>
      <c r="F35" s="448"/>
      <c r="G35" s="448"/>
    </row>
    <row r="36" spans="1:7" ht="12.75">
      <c r="A36" s="73"/>
      <c r="B36" s="73"/>
      <c r="C36" s="73"/>
      <c r="D36" s="73"/>
      <c r="E36" s="73"/>
      <c r="F36" s="73"/>
      <c r="G36" s="73"/>
    </row>
    <row r="37" spans="1:7" ht="12.75">
      <c r="A37" s="62"/>
      <c r="B37" s="449" t="s">
        <v>63</v>
      </c>
      <c r="C37" s="450"/>
      <c r="D37" s="449" t="s">
        <v>64</v>
      </c>
      <c r="E37" s="450"/>
      <c r="F37" s="449" t="s">
        <v>65</v>
      </c>
      <c r="G37" s="451"/>
    </row>
    <row r="38" spans="1:7" ht="12.75">
      <c r="A38" s="63" t="s">
        <v>22</v>
      </c>
      <c r="B38" s="68" t="s">
        <v>201</v>
      </c>
      <c r="C38" s="68"/>
      <c r="D38" s="68" t="s">
        <v>201</v>
      </c>
      <c r="E38" s="68"/>
      <c r="F38" s="68" t="s">
        <v>201</v>
      </c>
      <c r="G38" s="69"/>
    </row>
    <row r="39" spans="1:7" ht="13.5" thickBot="1">
      <c r="A39" s="152"/>
      <c r="B39" s="134" t="s">
        <v>78</v>
      </c>
      <c r="C39" s="153" t="s">
        <v>163</v>
      </c>
      <c r="D39" s="134" t="s">
        <v>78</v>
      </c>
      <c r="E39" s="153" t="s">
        <v>163</v>
      </c>
      <c r="F39" s="134" t="s">
        <v>78</v>
      </c>
      <c r="G39" s="154" t="s">
        <v>163</v>
      </c>
    </row>
    <row r="40" spans="1:7" ht="12.75">
      <c r="A40" s="64" t="s">
        <v>26</v>
      </c>
      <c r="B40" s="66">
        <v>157824</v>
      </c>
      <c r="C40" s="66">
        <v>648892</v>
      </c>
      <c r="D40" s="66">
        <v>173643</v>
      </c>
      <c r="E40" s="66">
        <v>605161</v>
      </c>
      <c r="F40" s="66">
        <v>134550</v>
      </c>
      <c r="G40" s="67">
        <v>66198</v>
      </c>
    </row>
    <row r="41" spans="1:7" ht="12.75">
      <c r="A41" s="64" t="s">
        <v>27</v>
      </c>
      <c r="B41" s="66">
        <v>10138</v>
      </c>
      <c r="C41" s="66">
        <v>171339</v>
      </c>
      <c r="D41" s="66">
        <v>20978</v>
      </c>
      <c r="E41" s="66">
        <v>134065</v>
      </c>
      <c r="F41" s="66">
        <v>13297</v>
      </c>
      <c r="G41" s="67">
        <v>9901</v>
      </c>
    </row>
    <row r="42" spans="1:7" ht="12.75">
      <c r="A42" s="64" t="s">
        <v>28</v>
      </c>
      <c r="B42" s="66">
        <v>1096</v>
      </c>
      <c r="C42" s="66">
        <v>26048</v>
      </c>
      <c r="D42" s="66">
        <v>2705</v>
      </c>
      <c r="E42" s="66">
        <v>126091</v>
      </c>
      <c r="F42" s="66">
        <v>6531</v>
      </c>
      <c r="G42" s="67">
        <v>7763</v>
      </c>
    </row>
    <row r="43" spans="1:7" ht="12.75">
      <c r="A43" s="64" t="s">
        <v>29</v>
      </c>
      <c r="B43" s="66">
        <v>4333</v>
      </c>
      <c r="C43" s="66">
        <v>27186</v>
      </c>
      <c r="D43" s="66">
        <v>21611</v>
      </c>
      <c r="E43" s="66">
        <v>294134</v>
      </c>
      <c r="F43" s="66">
        <v>26844</v>
      </c>
      <c r="G43" s="67">
        <v>13343</v>
      </c>
    </row>
    <row r="44" spans="1:7" ht="12.75">
      <c r="A44" s="64" t="s">
        <v>30</v>
      </c>
      <c r="B44" s="66">
        <v>2345</v>
      </c>
      <c r="C44" s="66">
        <v>45423</v>
      </c>
      <c r="D44" s="66">
        <v>4420</v>
      </c>
      <c r="E44" s="66">
        <v>279449</v>
      </c>
      <c r="F44" s="66">
        <v>6747</v>
      </c>
      <c r="G44" s="67">
        <v>20532</v>
      </c>
    </row>
    <row r="45" spans="1:7" ht="12.75">
      <c r="A45" s="64" t="s">
        <v>31</v>
      </c>
      <c r="B45" s="66">
        <v>325</v>
      </c>
      <c r="C45" s="66">
        <v>28646</v>
      </c>
      <c r="D45" s="66">
        <v>1273</v>
      </c>
      <c r="E45" s="66">
        <v>123086</v>
      </c>
      <c r="F45" s="66">
        <v>6332</v>
      </c>
      <c r="G45" s="67">
        <v>18485</v>
      </c>
    </row>
    <row r="46" spans="1:7" ht="12.75">
      <c r="A46" s="64" t="s">
        <v>32</v>
      </c>
      <c r="B46" s="66">
        <v>5908</v>
      </c>
      <c r="C46" s="66">
        <v>265859</v>
      </c>
      <c r="D46" s="66">
        <v>10384</v>
      </c>
      <c r="E46" s="66">
        <v>830205</v>
      </c>
      <c r="F46" s="66">
        <v>27967</v>
      </c>
      <c r="G46" s="67">
        <v>165541</v>
      </c>
    </row>
    <row r="47" spans="1:7" ht="12.75">
      <c r="A47" s="64" t="s">
        <v>33</v>
      </c>
      <c r="B47" s="66">
        <v>9478</v>
      </c>
      <c r="C47" s="66">
        <v>164855</v>
      </c>
      <c r="D47" s="66">
        <v>21438</v>
      </c>
      <c r="E47" s="66">
        <v>838663</v>
      </c>
      <c r="F47" s="66">
        <v>22158</v>
      </c>
      <c r="G47" s="67">
        <v>56850</v>
      </c>
    </row>
    <row r="48" spans="1:7" ht="12.75">
      <c r="A48" s="64" t="s">
        <v>34</v>
      </c>
      <c r="B48" s="66">
        <v>3387</v>
      </c>
      <c r="C48" s="66">
        <v>46549</v>
      </c>
      <c r="D48" s="66">
        <v>4474</v>
      </c>
      <c r="E48" s="66">
        <v>79214</v>
      </c>
      <c r="F48" s="66">
        <v>11603</v>
      </c>
      <c r="G48" s="67">
        <v>16181</v>
      </c>
    </row>
    <row r="49" spans="1:7" ht="12.75">
      <c r="A49" s="64" t="s">
        <v>35</v>
      </c>
      <c r="B49" s="66">
        <v>20541</v>
      </c>
      <c r="C49" s="66">
        <v>552628</v>
      </c>
      <c r="D49" s="66">
        <v>42489</v>
      </c>
      <c r="E49" s="66">
        <v>1224984</v>
      </c>
      <c r="F49" s="66">
        <v>52209</v>
      </c>
      <c r="G49" s="67">
        <v>227285</v>
      </c>
    </row>
    <row r="50" spans="1:7" ht="12.75">
      <c r="A50" s="64" t="s">
        <v>36</v>
      </c>
      <c r="B50" s="66">
        <v>639</v>
      </c>
      <c r="C50" s="66">
        <v>28509</v>
      </c>
      <c r="D50" s="66">
        <v>850</v>
      </c>
      <c r="E50" s="66">
        <v>86627</v>
      </c>
      <c r="F50" s="66">
        <v>2510</v>
      </c>
      <c r="G50" s="67">
        <v>22568</v>
      </c>
    </row>
    <row r="51" spans="1:7" ht="12.75">
      <c r="A51" s="64" t="s">
        <v>37</v>
      </c>
      <c r="B51" s="66">
        <v>18070</v>
      </c>
      <c r="C51" s="66">
        <v>829619</v>
      </c>
      <c r="D51" s="66">
        <v>17999</v>
      </c>
      <c r="E51" s="66">
        <v>1023968</v>
      </c>
      <c r="F51" s="66">
        <v>35302</v>
      </c>
      <c r="G51" s="67">
        <v>141322</v>
      </c>
    </row>
    <row r="52" spans="1:7" ht="12.75">
      <c r="A52" s="64" t="s">
        <v>38</v>
      </c>
      <c r="B52" s="66">
        <v>20836</v>
      </c>
      <c r="C52" s="66">
        <v>317897</v>
      </c>
      <c r="D52" s="66">
        <v>17054</v>
      </c>
      <c r="E52" s="66">
        <v>416980</v>
      </c>
      <c r="F52" s="66">
        <v>63894</v>
      </c>
      <c r="G52" s="67">
        <v>128620</v>
      </c>
    </row>
    <row r="53" spans="1:7" ht="12.75">
      <c r="A53" s="64" t="s">
        <v>39</v>
      </c>
      <c r="B53" s="66">
        <v>3377</v>
      </c>
      <c r="C53" s="66">
        <v>97385</v>
      </c>
      <c r="D53" s="66">
        <v>1792</v>
      </c>
      <c r="E53" s="66">
        <v>178236</v>
      </c>
      <c r="F53" s="66">
        <v>18819</v>
      </c>
      <c r="G53" s="67">
        <v>61290</v>
      </c>
    </row>
    <row r="54" spans="1:7" ht="12.75">
      <c r="A54" s="64" t="s">
        <v>40</v>
      </c>
      <c r="B54" s="66">
        <v>12547</v>
      </c>
      <c r="C54" s="66">
        <v>149337</v>
      </c>
      <c r="D54" s="66">
        <v>16302</v>
      </c>
      <c r="E54" s="66">
        <v>527059</v>
      </c>
      <c r="F54" s="66">
        <v>23901</v>
      </c>
      <c r="G54" s="67">
        <v>60294</v>
      </c>
    </row>
    <row r="55" spans="1:7" ht="12.75">
      <c r="A55" s="64" t="s">
        <v>41</v>
      </c>
      <c r="B55" s="66">
        <v>23957</v>
      </c>
      <c r="C55" s="66">
        <v>598892</v>
      </c>
      <c r="D55" s="66">
        <v>20054</v>
      </c>
      <c r="E55" s="66">
        <v>1569290</v>
      </c>
      <c r="F55" s="66">
        <v>77001</v>
      </c>
      <c r="G55" s="67">
        <v>210008</v>
      </c>
    </row>
    <row r="56" spans="1:7" ht="12.75">
      <c r="A56" s="64" t="s">
        <v>42</v>
      </c>
      <c r="B56" s="66">
        <v>3523</v>
      </c>
      <c r="C56" s="66">
        <v>46339</v>
      </c>
      <c r="D56" s="66">
        <v>3141</v>
      </c>
      <c r="E56" s="66">
        <v>80504</v>
      </c>
      <c r="F56" s="66">
        <v>15859</v>
      </c>
      <c r="G56" s="67">
        <v>101360</v>
      </c>
    </row>
    <row r="57" spans="1:10" s="20" customFormat="1" ht="12.75">
      <c r="A57" s="32" t="s">
        <v>227</v>
      </c>
      <c r="B57" s="226">
        <v>8</v>
      </c>
      <c r="C57" s="226">
        <v>138</v>
      </c>
      <c r="D57" s="226">
        <v>5</v>
      </c>
      <c r="E57" s="239">
        <v>377</v>
      </c>
      <c r="F57" s="240">
        <v>6</v>
      </c>
      <c r="G57" s="67">
        <v>30</v>
      </c>
      <c r="H57" s="241"/>
      <c r="I57" s="241"/>
      <c r="J57" s="248"/>
    </row>
    <row r="58" spans="1:10" s="20" customFormat="1" ht="12.75">
      <c r="A58" s="32" t="s">
        <v>228</v>
      </c>
      <c r="B58" s="226">
        <v>1</v>
      </c>
      <c r="C58" s="226">
        <v>55</v>
      </c>
      <c r="D58" s="226">
        <v>2</v>
      </c>
      <c r="E58" s="239">
        <v>97</v>
      </c>
      <c r="F58" s="236">
        <v>30</v>
      </c>
      <c r="G58" s="243">
        <v>93</v>
      </c>
      <c r="H58" s="244"/>
      <c r="I58" s="241"/>
      <c r="J58" s="248"/>
    </row>
    <row r="59" spans="1:7" ht="12.75">
      <c r="A59" s="64"/>
      <c r="B59" s="71"/>
      <c r="C59" s="71"/>
      <c r="D59" s="71"/>
      <c r="E59" s="71"/>
      <c r="F59" s="71"/>
      <c r="G59" s="72"/>
    </row>
    <row r="60" spans="1:7" ht="13.5" thickBot="1">
      <c r="A60" s="155" t="s">
        <v>200</v>
      </c>
      <c r="B60" s="156">
        <f aca="true" t="shared" si="1" ref="B60:G60">SUM(B40:B59)</f>
        <v>298333</v>
      </c>
      <c r="C60" s="156">
        <f t="shared" si="1"/>
        <v>4045596</v>
      </c>
      <c r="D60" s="156">
        <f t="shared" si="1"/>
        <v>380614</v>
      </c>
      <c r="E60" s="156">
        <f t="shared" si="1"/>
        <v>8418190</v>
      </c>
      <c r="F60" s="156">
        <f t="shared" si="1"/>
        <v>545560</v>
      </c>
      <c r="G60" s="157">
        <f t="shared" si="1"/>
        <v>1327664</v>
      </c>
    </row>
    <row r="61" ht="12.75">
      <c r="A61" s="17" t="s">
        <v>230</v>
      </c>
    </row>
    <row r="62" ht="12.75">
      <c r="A62" s="17" t="s">
        <v>203</v>
      </c>
    </row>
    <row r="63" spans="1:2" ht="12.75">
      <c r="A63" s="20" t="s">
        <v>267</v>
      </c>
      <c r="B63" s="20"/>
    </row>
    <row r="64" ht="12.75">
      <c r="A64" s="20"/>
    </row>
  </sheetData>
  <mergeCells count="11">
    <mergeCell ref="A35:G35"/>
    <mergeCell ref="A34:G34"/>
    <mergeCell ref="B37:C37"/>
    <mergeCell ref="D37:E37"/>
    <mergeCell ref="F37:G37"/>
    <mergeCell ref="A4:G4"/>
    <mergeCell ref="A1:G1"/>
    <mergeCell ref="B6:C6"/>
    <mergeCell ref="D6:E6"/>
    <mergeCell ref="F6:G6"/>
    <mergeCell ref="A3:G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2004-01-26T10:53:33Z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