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2" sheetId="1" r:id="rId1"/>
  </sheets>
  <definedNames>
    <definedName name="_xlnm.Print_Area" localSheetId="0">'4.22'!$A:$IV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<sst xmlns="http://schemas.openxmlformats.org/spreadsheetml/2006/main" count="54" uniqueCount="51">
  <si>
    <t>explotaciones</t>
  </si>
  <si>
    <t>Cultivos</t>
  </si>
  <si>
    <t>Horticultura</t>
  </si>
  <si>
    <t>leñosos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</si>
  <si>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</si>
  <si>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</si>
  <si>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</si>
  <si>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</si>
  <si>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</si>
  <si>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</si>
  <si>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</si>
  <si>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</si>
  <si>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</si>
  <si>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</si>
  <si>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</si>
  <si>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</si>
  <si>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</si>
  <si>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</si>
  <si>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</si>
  <si>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</si>
  <si>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</si>
  <si>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</si>
  <si>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</si>
  <si>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</si>
  <si>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</si>
  <si>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</si>
  <si>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ESTRUCTURA DE LAS EXPLOTACIONES AGRARIAS</t>
  </si>
  <si>
    <t>Policultivos</t>
  </si>
  <si>
    <t>Ganadería</t>
  </si>
  <si>
    <t>mixta</t>
  </si>
  <si>
    <t>Agricultura</t>
  </si>
  <si>
    <t>general</t>
  </si>
  <si>
    <t>Herbívoros</t>
  </si>
  <si>
    <t>Graníboros</t>
  </si>
  <si>
    <t>Número total de</t>
  </si>
  <si>
    <t>(miles)</t>
  </si>
  <si>
    <t xml:space="preserve">Sin </t>
  </si>
  <si>
    <t>clasificar</t>
  </si>
  <si>
    <t>y ganaderia</t>
  </si>
  <si>
    <t>(Ha): Hectáreas.</t>
  </si>
  <si>
    <t>UE-15</t>
  </si>
  <si>
    <t>Países</t>
  </si>
  <si>
    <t>Fuente: EUROSTAT.</t>
  </si>
  <si>
    <t xml:space="preserve">       0,2 Ha de (SAU) ocupadas por cultivos hortícolas y frutales de regadío o de invernadero o un Margen Bruto superior o igual a 0,75 (UDE).</t>
  </si>
  <si>
    <t>_</t>
  </si>
  <si>
    <t>(UDE): Unidades de Dimensión Europea.</t>
  </si>
  <si>
    <t>(SAU): Superficie Agrícola Utilizada</t>
  </si>
  <si>
    <t xml:space="preserve">(OTE): Orientación Técnico-Económica. </t>
  </si>
  <si>
    <t>España (*)</t>
  </si>
  <si>
    <t>(*) La población objeto de observación de la Encuesta sobre la Estructura de las Explotaciones Agrícolas del I.N.E. es la que tiene una (SAU) superior a 1 Ha, o al menos</t>
  </si>
  <si>
    <t>4.22. Distribución del número total de explotaciones agrarias de la Unión Europea, en miles, según Orientación Técnico-Económica (OTE)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</si>
</sst>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180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3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2" fillId="0" borderId="10" xfId="22" applyFont="1" applyBorder="1">
      <alignment/>
      <protection/>
    </xf>
    <xf numFmtId="0" fontId="2" fillId="0" borderId="0" xfId="22" applyFont="1">
      <alignment/>
      <protection/>
    </xf>
    <xf numFmtId="0" fontId="0" fillId="0" borderId="0" xfId="23" applyFont="1" applyFill="1">
      <alignment/>
      <protection/>
    </xf>
    <xf numFmtId="183" fontId="0" fillId="0" borderId="0" xfId="22" applyNumberFormat="1" applyFont="1">
      <alignment/>
      <protection/>
    </xf>
    <xf numFmtId="0" fontId="2" fillId="0" borderId="0" xfId="0" applyFont="1" applyAlignment="1">
      <alignment/>
    </xf>
    <xf numFmtId="183" fontId="2" fillId="0" borderId="11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3" fontId="2" fillId="0" borderId="12" xfId="22" applyNumberFormat="1" applyFont="1" applyBorder="1">
      <alignment/>
      <protection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 horizontal="right"/>
    </xf>
    <xf numFmtId="183" fontId="2" fillId="0" borderId="4" xfId="22" applyNumberFormat="1" applyFont="1" applyBorder="1">
      <alignment/>
      <protection/>
    </xf>
    <xf numFmtId="183" fontId="0" fillId="0" borderId="4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2" fillId="0" borderId="9" xfId="22" applyNumberFormat="1" applyFont="1" applyBorder="1">
      <alignment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2" applyFont="1">
      <alignment/>
      <protection/>
    </xf>
    <xf numFmtId="0" fontId="6" fillId="0" borderId="0" xfId="0" applyFont="1" applyAlignment="1">
      <alignment/>
    </xf>
    <xf numFmtId="0" fontId="3" fillId="0" borderId="0" xfId="23" applyFont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30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8.140625" style="0" customWidth="1"/>
    <col min="2" max="2" width="10.57421875" style="0" customWidth="1"/>
    <col min="3" max="4" width="9.57421875" style="0" customWidth="1"/>
    <col min="5" max="6" width="9.7109375" style="0" customWidth="1"/>
    <col min="7" max="7" width="13.00390625" style="0" customWidth="1"/>
    <col min="8" max="8" width="13.57421875" style="0" customWidth="1"/>
    <col min="9" max="9" width="12.00390625" style="0" customWidth="1"/>
    <col min="10" max="10" width="17.8515625" style="0" customWidth="1"/>
    <col min="11" max="11" width="16.140625" style="0" customWidth="1"/>
    <col min="12" max="12" width="8.140625" style="0" customWidth="1"/>
    <col min="13" max="13" width="7.28125" style="0" customWidth="1"/>
    <col min="14" max="15" width="9.00390625" style="0" customWidth="1"/>
    <col min="16" max="16" width="8.7109375" style="0" customWidth="1"/>
    <col min="17" max="17" width="9.57421875" style="0" customWidth="1"/>
    <col min="18" max="18" width="8.57421875" style="0" customWidth="1"/>
  </cols>
  <sheetData>
    <row r="1" spans="1:11" ht="18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s="35" customFormat="1" ht="15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3"/>
      <c r="L3" s="34"/>
      <c r="M3" s="34"/>
      <c r="N3" s="34"/>
      <c r="O3" s="34"/>
      <c r="P3" s="34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7"/>
      <c r="B5" s="12" t="s">
        <v>30</v>
      </c>
      <c r="C5" s="12" t="s">
        <v>2</v>
      </c>
      <c r="D5" s="12" t="s">
        <v>1</v>
      </c>
      <c r="E5" s="12" t="s">
        <v>32</v>
      </c>
      <c r="F5" s="12" t="s">
        <v>33</v>
      </c>
      <c r="G5" s="12" t="s">
        <v>27</v>
      </c>
      <c r="H5" s="12" t="s">
        <v>28</v>
      </c>
      <c r="I5" s="12" t="s">
        <v>1</v>
      </c>
      <c r="J5" s="12" t="s">
        <v>36</v>
      </c>
      <c r="K5" s="13" t="s">
        <v>34</v>
      </c>
      <c r="L5" s="2"/>
      <c r="M5" s="2"/>
      <c r="N5" s="2"/>
      <c r="O5" s="2"/>
      <c r="P5" s="2"/>
    </row>
    <row r="6" spans="1:13" ht="12.75">
      <c r="A6" s="8" t="s">
        <v>41</v>
      </c>
      <c r="B6" s="10" t="s">
        <v>31</v>
      </c>
      <c r="C6" s="10"/>
      <c r="D6" s="10" t="s">
        <v>3</v>
      </c>
      <c r="E6" s="10"/>
      <c r="F6" s="6"/>
      <c r="G6" s="10"/>
      <c r="H6" s="6" t="s">
        <v>29</v>
      </c>
      <c r="I6" s="6" t="s">
        <v>38</v>
      </c>
      <c r="J6" s="11" t="s">
        <v>37</v>
      </c>
      <c r="K6" s="11" t="s">
        <v>0</v>
      </c>
      <c r="L6" s="2"/>
      <c r="M6" s="2"/>
    </row>
    <row r="7" spans="1:13" ht="13.5" thickBot="1">
      <c r="A7" s="16"/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7"/>
      <c r="K7" s="17" t="s">
        <v>35</v>
      </c>
      <c r="M7" s="2"/>
    </row>
    <row r="8" spans="1:13" s="22" customFormat="1" ht="12.75">
      <c r="A8" s="18" t="s">
        <v>40</v>
      </c>
      <c r="B8" s="23">
        <f>1410080/1000</f>
        <v>1410.08</v>
      </c>
      <c r="C8" s="23">
        <f>186170/1000</f>
        <v>186.17</v>
      </c>
      <c r="D8" s="23">
        <f>2405653/1000</f>
        <v>2405.653</v>
      </c>
      <c r="E8" s="23">
        <f>1459790/1000</f>
        <v>1459.79</v>
      </c>
      <c r="F8" s="23">
        <f>100520/1000</f>
        <v>100.52</v>
      </c>
      <c r="G8" s="23">
        <f>536840/1000</f>
        <v>536.84</v>
      </c>
      <c r="H8" s="23">
        <f>180210/1000</f>
        <v>180.21</v>
      </c>
      <c r="I8" s="23">
        <f>441950/1000</f>
        <v>441.95</v>
      </c>
      <c r="J8" s="24">
        <f>49630/1000</f>
        <v>49.63</v>
      </c>
      <c r="K8" s="25">
        <f>SUM(B8:J8)</f>
        <v>6770.843</v>
      </c>
      <c r="M8" s="19"/>
    </row>
    <row r="9" spans="1:13" ht="12.75">
      <c r="A9" s="9" t="s">
        <v>12</v>
      </c>
      <c r="B9" s="26">
        <f>111750/1000</f>
        <v>111.75</v>
      </c>
      <c r="C9" s="26">
        <f>11050/1000</f>
        <v>11.05</v>
      </c>
      <c r="D9" s="26">
        <f>42600/1000</f>
        <v>42.6</v>
      </c>
      <c r="E9" s="26">
        <f>171510/1000</f>
        <v>171.51</v>
      </c>
      <c r="F9" s="26">
        <f>7790/1000</f>
        <v>7.79</v>
      </c>
      <c r="G9" s="26">
        <f>21640/1000</f>
        <v>21.64</v>
      </c>
      <c r="H9" s="26">
        <f>21950/1000</f>
        <v>21.95</v>
      </c>
      <c r="I9" s="26">
        <f>83670/1000</f>
        <v>83.67</v>
      </c>
      <c r="J9" s="27" t="s">
        <v>44</v>
      </c>
      <c r="K9" s="28">
        <f>SUM(B9:J9)</f>
        <v>471.96</v>
      </c>
      <c r="M9" s="2"/>
    </row>
    <row r="10" spans="1:13" ht="12.75">
      <c r="A10" s="9" t="s">
        <v>13</v>
      </c>
      <c r="B10" s="26">
        <f>33930/1000</f>
        <v>33.93</v>
      </c>
      <c r="C10" s="26">
        <f>1550/1000</f>
        <v>1.55</v>
      </c>
      <c r="D10" s="26">
        <f>19983/1000</f>
        <v>19.983</v>
      </c>
      <c r="E10" s="26">
        <f>108250/1000</f>
        <v>108.25</v>
      </c>
      <c r="F10" s="26">
        <f>6950/1000</f>
        <v>6.95</v>
      </c>
      <c r="G10" s="26">
        <f>5870/1000</f>
        <v>5.87</v>
      </c>
      <c r="H10" s="26">
        <f>7250/1000</f>
        <v>7.25</v>
      </c>
      <c r="I10" s="26">
        <f>15370/1000</f>
        <v>15.37</v>
      </c>
      <c r="J10" s="29">
        <f>330/1000</f>
        <v>0.33</v>
      </c>
      <c r="K10" s="28">
        <f aca="true" t="shared" si="0" ref="K10:K22">SUM(B10:J10)</f>
        <v>199.483</v>
      </c>
      <c r="M10" s="2"/>
    </row>
    <row r="11" spans="1:13" ht="12.75">
      <c r="A11" s="9" t="s">
        <v>14</v>
      </c>
      <c r="B11" s="26">
        <f>8890/1000</f>
        <v>8.89</v>
      </c>
      <c r="C11" s="26">
        <f>4740/1000</f>
        <v>4.74</v>
      </c>
      <c r="D11" s="26">
        <f>2610/1000</f>
        <v>2.61</v>
      </c>
      <c r="E11" s="26">
        <f>28320/1000</f>
        <v>28.32</v>
      </c>
      <c r="F11" s="26">
        <f>4260/1000</f>
        <v>4.26</v>
      </c>
      <c r="G11" s="26">
        <f>1690/1000</f>
        <v>1.69</v>
      </c>
      <c r="H11" s="26">
        <f>3340/1000</f>
        <v>3.34</v>
      </c>
      <c r="I11" s="26">
        <f>7710/1000</f>
        <v>7.71</v>
      </c>
      <c r="J11" s="29">
        <f>150/1000</f>
        <v>0.15</v>
      </c>
      <c r="K11" s="28">
        <f t="shared" si="0"/>
        <v>61.709999999999994</v>
      </c>
      <c r="M11" s="2"/>
    </row>
    <row r="12" spans="1:13" ht="12.75">
      <c r="A12" s="9" t="s">
        <v>15</v>
      </c>
      <c r="B12" s="26">
        <f>28660/1000</f>
        <v>28.66</v>
      </c>
      <c r="C12" s="26">
        <f>1110/1000</f>
        <v>1.11</v>
      </c>
      <c r="D12" s="26">
        <f>610/1000</f>
        <v>0.61</v>
      </c>
      <c r="E12" s="26">
        <f>11290/1000</f>
        <v>11.29</v>
      </c>
      <c r="F12" s="26">
        <f>3600/1000</f>
        <v>3.6</v>
      </c>
      <c r="G12" s="26">
        <f>1400/1000</f>
        <v>1.4</v>
      </c>
      <c r="H12" s="26">
        <f>1110/1000</f>
        <v>1.11</v>
      </c>
      <c r="I12" s="26">
        <f>9990/1000</f>
        <v>9.99</v>
      </c>
      <c r="J12" s="29">
        <f>50/1000</f>
        <v>0.05</v>
      </c>
      <c r="K12" s="28">
        <f t="shared" si="0"/>
        <v>57.82</v>
      </c>
      <c r="M12" s="3"/>
    </row>
    <row r="13" spans="1:13" ht="12.75">
      <c r="A13" s="9" t="s">
        <v>48</v>
      </c>
      <c r="B13" s="26">
        <f>199020/1000</f>
        <v>199.02</v>
      </c>
      <c r="C13" s="26">
        <f>55980/1000</f>
        <v>55.98</v>
      </c>
      <c r="D13" s="26">
        <f>619040/1000</f>
        <v>619.04</v>
      </c>
      <c r="E13" s="26">
        <f>190210/1000</f>
        <v>190.21</v>
      </c>
      <c r="F13" s="26">
        <f>25480/1000</f>
        <v>25.48</v>
      </c>
      <c r="G13" s="26">
        <f>88690/1000</f>
        <v>88.69</v>
      </c>
      <c r="H13" s="26">
        <f>36570/1000</f>
        <v>36.57</v>
      </c>
      <c r="I13" s="26">
        <f>54390/1000</f>
        <v>54.39</v>
      </c>
      <c r="J13" s="29">
        <f>18050/1000</f>
        <v>18.05</v>
      </c>
      <c r="K13" s="28">
        <f t="shared" si="0"/>
        <v>1287.43</v>
      </c>
      <c r="M13" s="2"/>
    </row>
    <row r="14" spans="1:13" ht="12.75">
      <c r="A14" s="9" t="s">
        <v>16</v>
      </c>
      <c r="B14" s="26">
        <f>38530/1000</f>
        <v>38.53</v>
      </c>
      <c r="C14" s="26">
        <f>3800/1000</f>
        <v>3.8</v>
      </c>
      <c r="D14" s="26">
        <f>460/1000</f>
        <v>0.46</v>
      </c>
      <c r="E14" s="26">
        <f>29300/1000</f>
        <v>29.3</v>
      </c>
      <c r="F14" s="26">
        <f>1590/1000</f>
        <v>1.59</v>
      </c>
      <c r="G14" s="26">
        <f>1600/1000</f>
        <v>1.6</v>
      </c>
      <c r="H14" s="26">
        <f>430/1000</f>
        <v>0.43</v>
      </c>
      <c r="I14" s="26">
        <f>5500/1000</f>
        <v>5.5</v>
      </c>
      <c r="J14" s="27" t="s">
        <v>44</v>
      </c>
      <c r="K14" s="28">
        <f t="shared" si="0"/>
        <v>81.21000000000001</v>
      </c>
      <c r="M14" s="2"/>
    </row>
    <row r="15" spans="1:13" ht="12.75">
      <c r="A15" s="9" t="s">
        <v>17</v>
      </c>
      <c r="B15" s="26">
        <f>134400/1000</f>
        <v>134.4</v>
      </c>
      <c r="C15" s="26">
        <f>15790/1000</f>
        <v>15.79</v>
      </c>
      <c r="D15" s="26">
        <f>117620/1000</f>
        <v>117.62</v>
      </c>
      <c r="E15" s="26">
        <f>247260/1000</f>
        <v>247.26</v>
      </c>
      <c r="F15" s="26">
        <f>13110/1000</f>
        <v>13.11</v>
      </c>
      <c r="G15" s="26">
        <f>31200/1000</f>
        <v>31.2</v>
      </c>
      <c r="H15" s="26">
        <f>32930/1000</f>
        <v>32.93</v>
      </c>
      <c r="I15" s="26">
        <f>70760/1000</f>
        <v>70.76</v>
      </c>
      <c r="J15" s="29">
        <f>770/1000</f>
        <v>0.77</v>
      </c>
      <c r="K15" s="28">
        <f t="shared" si="0"/>
        <v>663.8399999999999</v>
      </c>
      <c r="M15" s="2"/>
    </row>
    <row r="16" spans="1:13" ht="12.75">
      <c r="A16" s="9" t="s">
        <v>18</v>
      </c>
      <c r="B16" s="26">
        <f>189790/1000</f>
        <v>189.79</v>
      </c>
      <c r="C16" s="26">
        <f>13820/1000</f>
        <v>13.82</v>
      </c>
      <c r="D16" s="26">
        <f>432170/1000</f>
        <v>432.17</v>
      </c>
      <c r="E16" s="26">
        <f>49060/1000</f>
        <v>49.06</v>
      </c>
      <c r="F16" s="26">
        <f>3120/1000</f>
        <v>3.12</v>
      </c>
      <c r="G16" s="26">
        <f>71610/1000</f>
        <v>71.61</v>
      </c>
      <c r="H16" s="26">
        <f>15500/1000</f>
        <v>15.5</v>
      </c>
      <c r="I16" s="26">
        <f>41990/1000</f>
        <v>41.99</v>
      </c>
      <c r="J16" s="27" t="s">
        <v>44</v>
      </c>
      <c r="K16" s="28">
        <f t="shared" si="0"/>
        <v>817.06</v>
      </c>
      <c r="M16" s="2"/>
    </row>
    <row r="17" spans="1:13" ht="12.75">
      <c r="A17" s="9" t="s">
        <v>19</v>
      </c>
      <c r="B17" s="26">
        <f>13940/1000</f>
        <v>13.94</v>
      </c>
      <c r="C17" s="26">
        <f>14110/1000</f>
        <v>14.11</v>
      </c>
      <c r="D17" s="26">
        <f>5330/1000</f>
        <v>5.33</v>
      </c>
      <c r="E17" s="26">
        <f>48900/1000</f>
        <v>48.9</v>
      </c>
      <c r="F17" s="26">
        <f>8780/1000</f>
        <v>8.78</v>
      </c>
      <c r="G17" s="26">
        <f>2300/1000</f>
        <v>2.3</v>
      </c>
      <c r="H17" s="26">
        <f>3410/1000</f>
        <v>3.41</v>
      </c>
      <c r="I17" s="26">
        <f>4730/1000</f>
        <v>4.73</v>
      </c>
      <c r="J17" s="29">
        <f>70/1000</f>
        <v>0.07</v>
      </c>
      <c r="K17" s="28">
        <f t="shared" si="0"/>
        <v>101.57</v>
      </c>
      <c r="L17" s="2"/>
      <c r="M17" s="2"/>
    </row>
    <row r="18" spans="1:13" ht="12.75">
      <c r="A18" s="9" t="s">
        <v>20</v>
      </c>
      <c r="B18" s="26">
        <f>5270/1000</f>
        <v>5.27</v>
      </c>
      <c r="C18" s="26">
        <f>460/1000</f>
        <v>0.46</v>
      </c>
      <c r="D18" s="26">
        <f>190/1000</f>
        <v>0.19</v>
      </c>
      <c r="E18" s="26">
        <f>130640/1000</f>
        <v>130.64</v>
      </c>
      <c r="F18" s="26">
        <f>610/1000</f>
        <v>0.61</v>
      </c>
      <c r="G18" s="26">
        <f>120/1000</f>
        <v>0.12</v>
      </c>
      <c r="H18" s="26">
        <f>370/1000</f>
        <v>0.37</v>
      </c>
      <c r="I18" s="26">
        <f>3860/1000</f>
        <v>3.86</v>
      </c>
      <c r="J18" s="29">
        <f>30/1000</f>
        <v>0.03</v>
      </c>
      <c r="K18" s="28">
        <f t="shared" si="0"/>
        <v>141.55</v>
      </c>
      <c r="L18" s="2"/>
      <c r="M18" s="2"/>
    </row>
    <row r="19" spans="1:13" ht="12.75">
      <c r="A19" s="9" t="s">
        <v>21</v>
      </c>
      <c r="B19" s="26">
        <f>525040/1000</f>
        <v>525.04</v>
      </c>
      <c r="C19" s="26">
        <f>44930/1000</f>
        <v>44.93</v>
      </c>
      <c r="D19" s="26">
        <f>1016860/1000</f>
        <v>1016.86</v>
      </c>
      <c r="E19" s="26">
        <f>224940/1000</f>
        <v>224.94</v>
      </c>
      <c r="F19" s="26">
        <f>10130/1000</f>
        <v>10.13</v>
      </c>
      <c r="G19" s="26">
        <f>219430/1000</f>
        <v>219.43</v>
      </c>
      <c r="H19" s="26">
        <f>21240/1000</f>
        <v>21.24</v>
      </c>
      <c r="I19" s="26">
        <f>71950/1000</f>
        <v>71.95</v>
      </c>
      <c r="J19" s="29">
        <f>19220/1000</f>
        <v>19.22</v>
      </c>
      <c r="K19" s="28">
        <f t="shared" si="0"/>
        <v>2153.74</v>
      </c>
      <c r="L19" s="2"/>
      <c r="M19" s="2"/>
    </row>
    <row r="20" spans="1:13" ht="12.75">
      <c r="A20" s="9" t="s">
        <v>22</v>
      </c>
      <c r="B20" s="26">
        <f>190/1000</f>
        <v>0.19</v>
      </c>
      <c r="C20" s="26">
        <f>30/1000</f>
        <v>0.03</v>
      </c>
      <c r="D20" s="26">
        <f>480/1000</f>
        <v>0.48</v>
      </c>
      <c r="E20" s="26">
        <f>1570/1000</f>
        <v>1.57</v>
      </c>
      <c r="F20" s="26">
        <f>50/1000</f>
        <v>0.05</v>
      </c>
      <c r="G20" s="26">
        <f>20/1000</f>
        <v>0.02</v>
      </c>
      <c r="H20" s="26">
        <f>130/1000</f>
        <v>0.13</v>
      </c>
      <c r="I20" s="26">
        <f>320/1000</f>
        <v>0.32</v>
      </c>
      <c r="J20" s="29">
        <f>20/1000</f>
        <v>0.02</v>
      </c>
      <c r="K20" s="28">
        <f t="shared" si="0"/>
        <v>2.8099999999999996</v>
      </c>
      <c r="L20" s="2"/>
      <c r="M20" s="2"/>
    </row>
    <row r="21" spans="1:13" ht="12.75">
      <c r="A21" s="9" t="s">
        <v>23</v>
      </c>
      <c r="B21" s="26">
        <f>36120/1000</f>
        <v>36.12</v>
      </c>
      <c r="C21" s="26">
        <f>12600/1000</f>
        <v>12.6</v>
      </c>
      <c r="D21" s="26">
        <f>144010/1000</f>
        <v>144.01</v>
      </c>
      <c r="E21" s="26">
        <f>49830/1000</f>
        <v>49.83</v>
      </c>
      <c r="F21" s="26">
        <f>7280/1000</f>
        <v>7.28</v>
      </c>
      <c r="G21" s="26">
        <f>87610/1000</f>
        <v>87.61</v>
      </c>
      <c r="H21" s="26">
        <f>32680/1000</f>
        <v>32.68</v>
      </c>
      <c r="I21" s="26">
        <f>45630/1000</f>
        <v>45.63</v>
      </c>
      <c r="J21" s="29">
        <f>220/1000</f>
        <v>0.22</v>
      </c>
      <c r="K21" s="28">
        <f t="shared" si="0"/>
        <v>415.98</v>
      </c>
      <c r="L21" s="2"/>
      <c r="M21" s="2"/>
    </row>
    <row r="22" spans="1:16" ht="12.75">
      <c r="A22" s="9" t="s">
        <v>24</v>
      </c>
      <c r="B22" s="26">
        <f>42530/1000</f>
        <v>42.53</v>
      </c>
      <c r="C22" s="26">
        <f>4830/1000</f>
        <v>4.83</v>
      </c>
      <c r="D22" s="26">
        <f>3250/1000</f>
        <v>3.25</v>
      </c>
      <c r="E22" s="26">
        <f>148980/1000</f>
        <v>148.98</v>
      </c>
      <c r="F22" s="26">
        <f>6780/1000</f>
        <v>6.78</v>
      </c>
      <c r="G22" s="26">
        <f>2440/1000</f>
        <v>2.44</v>
      </c>
      <c r="H22" s="26">
        <f>2600/1000</f>
        <v>2.6</v>
      </c>
      <c r="I22" s="26">
        <f>12450/1000</f>
        <v>12.45</v>
      </c>
      <c r="J22" s="29">
        <f>9400/1000</f>
        <v>9.4</v>
      </c>
      <c r="K22" s="28">
        <f t="shared" si="0"/>
        <v>233.25999999999996</v>
      </c>
      <c r="L22" s="2"/>
      <c r="M22" s="2"/>
      <c r="N22" s="2"/>
      <c r="O22" s="2"/>
      <c r="P22" s="2"/>
    </row>
    <row r="23" spans="1:16" ht="13.5" thickBot="1">
      <c r="A23" s="16" t="s">
        <v>25</v>
      </c>
      <c r="B23" s="30">
        <f>42020/1000</f>
        <v>42.02</v>
      </c>
      <c r="C23" s="30">
        <f>1370/1000</f>
        <v>1.37</v>
      </c>
      <c r="D23" s="30">
        <f>440/1000</f>
        <v>0.44</v>
      </c>
      <c r="E23" s="30">
        <f>19730/1000</f>
        <v>19.73</v>
      </c>
      <c r="F23" s="30">
        <f>990/1000</f>
        <v>0.99</v>
      </c>
      <c r="G23" s="30">
        <f>1220/1000</f>
        <v>1.22</v>
      </c>
      <c r="H23" s="30">
        <f>700/1000</f>
        <v>0.7</v>
      </c>
      <c r="I23" s="30">
        <f>13630/1000</f>
        <v>13.63</v>
      </c>
      <c r="J23" s="31">
        <f>1320/1000</f>
        <v>1.32</v>
      </c>
      <c r="K23" s="32">
        <f>SUM(B23:J23)</f>
        <v>81.41999999999999</v>
      </c>
      <c r="L23" s="2"/>
      <c r="M23" s="2"/>
      <c r="N23" s="2"/>
      <c r="O23" s="2"/>
      <c r="P23" s="2"/>
    </row>
    <row r="24" spans="1:16" ht="12.75">
      <c r="A24" s="2" t="s">
        <v>42</v>
      </c>
      <c r="B24" s="2"/>
      <c r="C24" s="2"/>
      <c r="D24" s="2"/>
      <c r="E24" s="2"/>
      <c r="F24" s="2"/>
      <c r="G24" s="2"/>
      <c r="H24" s="3"/>
      <c r="I24" s="2"/>
      <c r="J24" s="2"/>
      <c r="K24" s="21"/>
      <c r="L24" s="2"/>
      <c r="M24" s="2"/>
      <c r="N24" s="2"/>
      <c r="O24" s="2"/>
      <c r="P24" s="2"/>
    </row>
    <row r="25" spans="1:16" ht="12.75">
      <c r="A25" s="1" t="s">
        <v>39</v>
      </c>
      <c r="B25" s="2"/>
      <c r="C25" s="2"/>
      <c r="D25" s="2"/>
      <c r="E25" s="2"/>
      <c r="F25" s="2"/>
      <c r="G25" s="2"/>
      <c r="H25" s="3"/>
      <c r="I25" s="2"/>
      <c r="J25" s="2"/>
      <c r="K25" s="21"/>
      <c r="L25" s="2"/>
      <c r="M25" s="2"/>
      <c r="N25" s="2"/>
      <c r="O25" s="2"/>
      <c r="P25" s="2"/>
    </row>
    <row r="26" spans="1:16" ht="12.75">
      <c r="A26" s="4" t="s">
        <v>47</v>
      </c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0" t="s">
        <v>46</v>
      </c>
      <c r="B27" s="20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5" t="s">
        <v>45</v>
      </c>
      <c r="B28" s="5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2.75">
      <c r="A29" t="s">
        <v>49</v>
      </c>
    </row>
    <row r="30" ht="12.75">
      <c r="A30" t="s">
        <v>43</v>
      </c>
    </row>
  </sheetData>
  <mergeCells count="2">
    <mergeCell ref="A3:J3"/>
    <mergeCell ref="A1:K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